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drawings/drawing4.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2.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3.xml" ContentType="application/vnd.openxmlformats-officedocument.themeOverride+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4.xml" ContentType="application/vnd.openxmlformats-officedocument.themeOverride+xml"/>
  <Override PartName="/xl/drawings/drawing6.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5.xml" ContentType="application/vnd.openxmlformats-officedocument.themeOverride+xml"/>
  <Override PartName="/xl/drawings/drawing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S:\TELECOMS\STOCKS\EMEA\India\"/>
    </mc:Choice>
  </mc:AlternateContent>
  <xr:revisionPtr revIDLastSave="0" documentId="13_ncr:1_{38DB2FAD-AF11-40DF-9A57-2ED6A05B6077}" xr6:coauthVersionLast="47" xr6:coauthVersionMax="47" xr10:uidLastSave="{00000000-0000-0000-0000-000000000000}"/>
  <bookViews>
    <workbookView xWindow="-93" yWindow="-93" windowWidth="25786" windowHeight="13866" tabRatio="859" xr2:uid="{00000000-000D-0000-FFFF-FFFF00000000}"/>
  </bookViews>
  <sheets>
    <sheet name="Key" sheetId="13" r:id="rId1"/>
    <sheet name="Reported Group Profit and Loss" sheetId="9" r:id="rId2"/>
    <sheet name="Reported Group Balance Sheet" sheetId="10" r:id="rId3"/>
    <sheet name="Reported Group Cash-Flow" sheetId="11" r:id="rId4"/>
    <sheet name="Revenue, EBITDA, capex breakout" sheetId="1" r:id="rId5"/>
    <sheet name="Indian opex" sheetId="8" r:id="rId6"/>
    <sheet name="Domestic Mobile Operations" sheetId="6" r:id="rId7"/>
    <sheet name="Domestic Mobile Financials" sheetId="2" r:id="rId8"/>
    <sheet name="Other India financials" sheetId="3" r:id="rId9"/>
    <sheet name="Other India Operations" sheetId="7" r:id="rId10"/>
    <sheet name="International Financials" sheetId="4" r:id="rId11"/>
    <sheet name="International Operations KPIs" sheetId="5" r:id="rId12"/>
    <sheet name="Charts" sheetId="12" r:id="rId13"/>
    <sheet name="Snap" sheetId="15" r:id="rId14"/>
    <sheet name="Dates" sheetId="14" state="hidden" r:id="rId15"/>
  </sheets>
  <externalReferences>
    <externalReference r:id="rId16"/>
  </externalReferences>
  <definedNames>
    <definedName name="_xlnm.Print_Area" localSheetId="12">Charts!$A$1:$U$521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00" i="15" l="1"/>
  <c r="W100" i="15"/>
  <c r="V100" i="15"/>
  <c r="U100" i="15"/>
  <c r="T100" i="15"/>
  <c r="S100" i="15"/>
  <c r="R100" i="15"/>
  <c r="Q100" i="15"/>
  <c r="P100" i="15"/>
  <c r="O100" i="15"/>
  <c r="N100" i="15"/>
  <c r="M100" i="15"/>
  <c r="L100" i="15"/>
  <c r="K100" i="15"/>
  <c r="J100" i="15"/>
  <c r="I100" i="15"/>
  <c r="H100" i="15"/>
  <c r="G100" i="15"/>
  <c r="F100" i="15"/>
  <c r="E100" i="15"/>
  <c r="D100" i="15"/>
  <c r="X99" i="15"/>
  <c r="W99" i="15"/>
  <c r="V99" i="15"/>
  <c r="U99" i="15"/>
  <c r="T99" i="15"/>
  <c r="S99" i="15"/>
  <c r="R99" i="15"/>
  <c r="Q99" i="15"/>
  <c r="P99" i="15"/>
  <c r="O99" i="15"/>
  <c r="N99" i="15"/>
  <c r="M99" i="15"/>
  <c r="L99" i="15"/>
  <c r="K99" i="15"/>
  <c r="J99" i="15"/>
  <c r="I99" i="15"/>
  <c r="H99" i="15"/>
  <c r="G99" i="15"/>
  <c r="D98" i="15"/>
  <c r="E98" i="15"/>
  <c r="F98" i="15"/>
  <c r="G98" i="15"/>
  <c r="H98" i="15"/>
  <c r="I98" i="15"/>
  <c r="J98" i="15"/>
  <c r="K98" i="15"/>
  <c r="L98" i="15"/>
  <c r="M98" i="15"/>
  <c r="N98" i="15"/>
  <c r="O98" i="15"/>
  <c r="P98" i="15"/>
  <c r="Q98" i="15"/>
  <c r="R98" i="15"/>
  <c r="S98" i="15"/>
  <c r="T98" i="15"/>
  <c r="U98" i="15"/>
  <c r="V98" i="15"/>
  <c r="W98" i="15"/>
  <c r="X98" i="15"/>
  <c r="C98" i="15"/>
  <c r="D96" i="15"/>
  <c r="C95" i="15"/>
  <c r="F96" i="15"/>
  <c r="G96" i="15"/>
  <c r="H96" i="15"/>
  <c r="I96" i="15"/>
  <c r="J96" i="15"/>
  <c r="K96" i="15"/>
  <c r="L96" i="15"/>
  <c r="M96" i="15"/>
  <c r="N96" i="15"/>
  <c r="O96" i="15"/>
  <c r="P96" i="15"/>
  <c r="Q96" i="15"/>
  <c r="R96" i="15"/>
  <c r="S96" i="15"/>
  <c r="T96" i="15"/>
  <c r="U96" i="15"/>
  <c r="V96" i="15"/>
  <c r="W96" i="15"/>
  <c r="X96" i="15"/>
  <c r="E96" i="15"/>
  <c r="W95" i="15"/>
  <c r="E95" i="15"/>
  <c r="F95" i="15"/>
  <c r="G95" i="15"/>
  <c r="H95" i="15"/>
  <c r="I95" i="15"/>
  <c r="J95" i="15"/>
  <c r="K95" i="15"/>
  <c r="L95" i="15"/>
  <c r="M95" i="15"/>
  <c r="N95" i="15"/>
  <c r="O95" i="15"/>
  <c r="P95" i="15"/>
  <c r="Q95" i="15"/>
  <c r="R95" i="15"/>
  <c r="S95" i="15"/>
  <c r="T95" i="15"/>
  <c r="U95" i="15"/>
  <c r="V95" i="15"/>
  <c r="D95" i="15"/>
  <c r="X95" i="15"/>
  <c r="CQ16" i="1"/>
  <c r="CN16" i="1"/>
  <c r="CO16" i="1"/>
  <c r="CN17" i="1"/>
  <c r="CO17" i="1"/>
  <c r="CN18" i="1"/>
  <c r="CO18" i="1"/>
  <c r="CN19" i="1"/>
  <c r="CO19" i="1"/>
  <c r="CN20" i="1"/>
  <c r="CO20" i="1"/>
  <c r="CN21" i="1"/>
  <c r="CO21" i="1"/>
  <c r="CN22" i="1"/>
  <c r="CO22" i="1"/>
  <c r="CN23" i="1"/>
  <c r="CO23" i="1"/>
  <c r="CN24" i="1"/>
  <c r="CO24" i="1"/>
  <c r="CN25" i="1"/>
  <c r="CO25" i="1"/>
  <c r="BC88" i="9" l="1"/>
  <c r="X44" i="15"/>
  <c r="X54" i="15"/>
  <c r="X57" i="15"/>
  <c r="X59" i="15"/>
  <c r="X61" i="15"/>
  <c r="X67" i="15"/>
  <c r="X87" i="15"/>
  <c r="X90" i="15"/>
  <c r="X123" i="15"/>
  <c r="X131" i="15"/>
  <c r="X134" i="15" s="1"/>
  <c r="X132" i="15"/>
  <c r="X133" i="15"/>
  <c r="X71" i="15" l="1"/>
  <c r="X56" i="15"/>
  <c r="X126" i="15" s="1"/>
  <c r="X128" i="15" s="1"/>
  <c r="BC1" i="5" l="1"/>
  <c r="BC51" i="5" s="1"/>
  <c r="BC7" i="5"/>
  <c r="BC69" i="5"/>
  <c r="BC91" i="5" s="1"/>
  <c r="BC72" i="5"/>
  <c r="BC73" i="5"/>
  <c r="BC78" i="5"/>
  <c r="BC80" i="5"/>
  <c r="BC87" i="5"/>
  <c r="BC88" i="5"/>
  <c r="BC89" i="5"/>
  <c r="BC95" i="5"/>
  <c r="BC97" i="5"/>
  <c r="BC1" i="4"/>
  <c r="BC41" i="4" s="1"/>
  <c r="BC54" i="4" s="1"/>
  <c r="BC69" i="4" s="1"/>
  <c r="BC30" i="4"/>
  <c r="BC31" i="4"/>
  <c r="BC32" i="4"/>
  <c r="BC33" i="4"/>
  <c r="BC34" i="4"/>
  <c r="BC35" i="4"/>
  <c r="BC36" i="4"/>
  <c r="BC37" i="4"/>
  <c r="BC38" i="4"/>
  <c r="BC39" i="4"/>
  <c r="BC43" i="4"/>
  <c r="BC45" i="4"/>
  <c r="BC46" i="4"/>
  <c r="BC49" i="4"/>
  <c r="BC51" i="4"/>
  <c r="BC52" i="4"/>
  <c r="BC56" i="4"/>
  <c r="BC60" i="4"/>
  <c r="BC62" i="4"/>
  <c r="BC66" i="4"/>
  <c r="BC67" i="4"/>
  <c r="BC72" i="4"/>
  <c r="BC74" i="4"/>
  <c r="BC80" i="4"/>
  <c r="BC81" i="4"/>
  <c r="BC83" i="4"/>
  <c r="BC84" i="4"/>
  <c r="BC88" i="4"/>
  <c r="BC89" i="4"/>
  <c r="BC90" i="4"/>
  <c r="BC91" i="4"/>
  <c r="BC92" i="4"/>
  <c r="BC96" i="4"/>
  <c r="BC102" i="4"/>
  <c r="BC1" i="7"/>
  <c r="BC43" i="7" s="1"/>
  <c r="BC46" i="7"/>
  <c r="BC49" i="7"/>
  <c r="BC65" i="7"/>
  <c r="BC66" i="7"/>
  <c r="BC1" i="3"/>
  <c r="BC51" i="3" s="1"/>
  <c r="BC64" i="3"/>
  <c r="BC66" i="3"/>
  <c r="BC67" i="3"/>
  <c r="BC70" i="3"/>
  <c r="BC71" i="3"/>
  <c r="BC73" i="3"/>
  <c r="BC78" i="3"/>
  <c r="BC80" i="3"/>
  <c r="BC81" i="3"/>
  <c r="BC84" i="3"/>
  <c r="BC85" i="3"/>
  <c r="BC87" i="3"/>
  <c r="BC91" i="3"/>
  <c r="BC93" i="3"/>
  <c r="BC94" i="3"/>
  <c r="BC97" i="3"/>
  <c r="BC98" i="3"/>
  <c r="BC100" i="3"/>
  <c r="BC119" i="3"/>
  <c r="BC121" i="3"/>
  <c r="BC122" i="3"/>
  <c r="BC124" i="3"/>
  <c r="BC126" i="3"/>
  <c r="BC132" i="3"/>
  <c r="BC1" i="2"/>
  <c r="BC15" i="2"/>
  <c r="BC16" i="2"/>
  <c r="BC18" i="2"/>
  <c r="BC19" i="2"/>
  <c r="BC21" i="2"/>
  <c r="BC24" i="2"/>
  <c r="BC27" i="2"/>
  <c r="BC28" i="2"/>
  <c r="BC1" i="6"/>
  <c r="BC6" i="6"/>
  <c r="BC12" i="6"/>
  <c r="BC14" i="6"/>
  <c r="BC17" i="6"/>
  <c r="BC18" i="6" s="1"/>
  <c r="BC35" i="6"/>
  <c r="BC45" i="6"/>
  <c r="BC68" i="6" s="1"/>
  <c r="BC79" i="6" s="1"/>
  <c r="BC65" i="6"/>
  <c r="BC66" i="6"/>
  <c r="BC69" i="6"/>
  <c r="BC70" i="6"/>
  <c r="BC73" i="6"/>
  <c r="BC75" i="6"/>
  <c r="BC80" i="6"/>
  <c r="BC81" i="6"/>
  <c r="BC82" i="6"/>
  <c r="BC84" i="6"/>
  <c r="BC86" i="6"/>
  <c r="BC94" i="6"/>
  <c r="BC99" i="6"/>
  <c r="BC100" i="6"/>
  <c r="BC102" i="6"/>
  <c r="BC107" i="6"/>
  <c r="BC108" i="6"/>
  <c r="BC120" i="6"/>
  <c r="BC121" i="6"/>
  <c r="BC122" i="6"/>
  <c r="BC130" i="6"/>
  <c r="BC131" i="6"/>
  <c r="BC1" i="8"/>
  <c r="BC20" i="8" s="1"/>
  <c r="BC40" i="8"/>
  <c r="BC41" i="8"/>
  <c r="BC42" i="8"/>
  <c r="BC43" i="8"/>
  <c r="BC44" i="8"/>
  <c r="BC45" i="8"/>
  <c r="BC47" i="8"/>
  <c r="BC48" i="8"/>
  <c r="BC1" i="1"/>
  <c r="X2" i="15" s="1"/>
  <c r="BC4" i="1"/>
  <c r="X7" i="15" s="1"/>
  <c r="BC5" i="1"/>
  <c r="X9" i="15" s="1"/>
  <c r="BC6" i="1"/>
  <c r="X11" i="15" s="1"/>
  <c r="BC7" i="1"/>
  <c r="X13" i="15" s="1"/>
  <c r="BC8" i="1"/>
  <c r="X15" i="15" s="1"/>
  <c r="BC9" i="1"/>
  <c r="X16" i="15" s="1"/>
  <c r="BC10" i="1"/>
  <c r="X18" i="15" s="1"/>
  <c r="BC13" i="1"/>
  <c r="BC16" i="1"/>
  <c r="BC17" i="1"/>
  <c r="X33" i="15" s="1"/>
  <c r="BC18" i="1"/>
  <c r="X35" i="15" s="1"/>
  <c r="BC19" i="1"/>
  <c r="X37" i="15" s="1"/>
  <c r="BC20" i="1"/>
  <c r="X39" i="15" s="1"/>
  <c r="X120" i="15" s="1"/>
  <c r="BC21" i="1"/>
  <c r="X40" i="15" s="1"/>
  <c r="BC22" i="1"/>
  <c r="X42" i="15" s="1"/>
  <c r="BC30" i="1"/>
  <c r="X66" i="15" s="1"/>
  <c r="BC31" i="1"/>
  <c r="BC32" i="1"/>
  <c r="BC33" i="1"/>
  <c r="BC34" i="1"/>
  <c r="BC35" i="1"/>
  <c r="BC36" i="1"/>
  <c r="BC47" i="1"/>
  <c r="BC61" i="1"/>
  <c r="BC62" i="1"/>
  <c r="BC64" i="1"/>
  <c r="BC1" i="11"/>
  <c r="BC80" i="11" s="1"/>
  <c r="BC103" i="11" s="1"/>
  <c r="BC121" i="11" s="1"/>
  <c r="BC87" i="11"/>
  <c r="BC133" i="11" s="1"/>
  <c r="BC106" i="11"/>
  <c r="BC108" i="11"/>
  <c r="BC109" i="11"/>
  <c r="BC110" i="11"/>
  <c r="BC111" i="11"/>
  <c r="BC113" i="11"/>
  <c r="BC123" i="11"/>
  <c r="BC124" i="11"/>
  <c r="BC126" i="11"/>
  <c r="BC127" i="11"/>
  <c r="BC131" i="11"/>
  <c r="BC134" i="11"/>
  <c r="BC138" i="11"/>
  <c r="BC139" i="11"/>
  <c r="BC140" i="11"/>
  <c r="BC142" i="11"/>
  <c r="BC145" i="11"/>
  <c r="BC150" i="11"/>
  <c r="BC151" i="11"/>
  <c r="BC1" i="10"/>
  <c r="BC89" i="10"/>
  <c r="BC90" i="10"/>
  <c r="BC91" i="10"/>
  <c r="BC92" i="10"/>
  <c r="BC7" i="9"/>
  <c r="BC18" i="9"/>
  <c r="BC27" i="9"/>
  <c r="BC47" i="9"/>
  <c r="BC48" i="9"/>
  <c r="BC51" i="9"/>
  <c r="BC52" i="9"/>
  <c r="BC54" i="9"/>
  <c r="BC56" i="9"/>
  <c r="BC57" i="9"/>
  <c r="BC81" i="9"/>
  <c r="BC83" i="9"/>
  <c r="BC84" i="9"/>
  <c r="BC86" i="9"/>
  <c r="AY27" i="9"/>
  <c r="AZ27" i="9"/>
  <c r="BA27" i="9"/>
  <c r="BB27" i="9"/>
  <c r="AW89" i="10"/>
  <c r="AX92" i="10"/>
  <c r="AX91" i="10"/>
  <c r="AX90" i="10"/>
  <c r="AX89" i="10"/>
  <c r="AY92" i="10"/>
  <c r="AY91" i="10"/>
  <c r="AY90" i="10"/>
  <c r="AY89" i="10"/>
  <c r="AZ92" i="10"/>
  <c r="AZ91" i="10"/>
  <c r="AZ90" i="10"/>
  <c r="AZ89" i="10"/>
  <c r="BA92" i="10"/>
  <c r="BA91" i="10"/>
  <c r="BA90" i="10"/>
  <c r="BA89" i="10"/>
  <c r="BB92" i="10"/>
  <c r="BB91" i="10"/>
  <c r="BB90" i="10"/>
  <c r="E89" i="10"/>
  <c r="F89" i="10"/>
  <c r="G89" i="10"/>
  <c r="H89" i="10"/>
  <c r="I89" i="10"/>
  <c r="J89" i="10"/>
  <c r="K89" i="10"/>
  <c r="L89" i="10"/>
  <c r="M89" i="10"/>
  <c r="N89" i="10"/>
  <c r="O89" i="10"/>
  <c r="P89" i="10"/>
  <c r="Q89" i="10"/>
  <c r="R89" i="10"/>
  <c r="S89" i="10"/>
  <c r="T89" i="10"/>
  <c r="U89" i="10"/>
  <c r="V89" i="10"/>
  <c r="W89" i="10"/>
  <c r="X89" i="10"/>
  <c r="Y89" i="10"/>
  <c r="Z89" i="10"/>
  <c r="AB89" i="10"/>
  <c r="AC89" i="10"/>
  <c r="AD89" i="10"/>
  <c r="AE89" i="10"/>
  <c r="AF89" i="10"/>
  <c r="AG89" i="10"/>
  <c r="AH89" i="10"/>
  <c r="AI89" i="10"/>
  <c r="AJ89" i="10"/>
  <c r="AK89" i="10"/>
  <c r="AL89" i="10"/>
  <c r="AM89" i="10"/>
  <c r="AN89" i="10"/>
  <c r="AO89" i="10"/>
  <c r="AP89" i="10"/>
  <c r="AQ89" i="10"/>
  <c r="AR89" i="10"/>
  <c r="AT89" i="10"/>
  <c r="AU89" i="10"/>
  <c r="AV89" i="10"/>
  <c r="C89" i="10"/>
  <c r="BB89" i="10"/>
  <c r="BC42" i="1" l="1"/>
  <c r="X31" i="15"/>
  <c r="BC50" i="1"/>
  <c r="BC58" i="4"/>
  <c r="X22" i="15"/>
  <c r="X105" i="15" s="1"/>
  <c r="BC95" i="4"/>
  <c r="BC101" i="4" s="1"/>
  <c r="X121" i="15"/>
  <c r="X81" i="15"/>
  <c r="BC13" i="2"/>
  <c r="BC118" i="3"/>
  <c r="X119" i="15"/>
  <c r="X79" i="15"/>
  <c r="X108" i="15"/>
  <c r="BC71" i="4"/>
  <c r="X49" i="15"/>
  <c r="X82" i="15"/>
  <c r="X122" i="15"/>
  <c r="BC30" i="2"/>
  <c r="X118" i="15"/>
  <c r="X78" i="15"/>
  <c r="BC79" i="4"/>
  <c r="X26" i="15"/>
  <c r="X117" i="15"/>
  <c r="X77" i="15"/>
  <c r="BC70" i="5"/>
  <c r="BC45" i="1"/>
  <c r="BC5" i="8"/>
  <c r="BC146" i="11"/>
  <c r="BC141" i="11"/>
  <c r="BC21" i="9"/>
  <c r="BC22" i="9" s="1"/>
  <c r="BC63" i="9"/>
  <c r="BC56" i="1"/>
  <c r="BC67" i="9"/>
  <c r="BC65" i="1"/>
  <c r="BC68" i="9"/>
  <c r="BC66" i="9"/>
  <c r="BC87" i="9"/>
  <c r="BC65" i="9"/>
  <c r="BC64" i="9"/>
  <c r="BC86" i="5"/>
  <c r="BC76" i="5"/>
  <c r="BC11" i="1"/>
  <c r="BC23" i="1"/>
  <c r="BC46" i="1"/>
  <c r="BC84" i="7"/>
  <c r="BC63" i="7"/>
  <c r="BC68" i="7"/>
  <c r="BC79" i="7"/>
  <c r="BC37" i="1"/>
  <c r="BC25" i="8"/>
  <c r="BC24" i="8"/>
  <c r="BC27" i="8"/>
  <c r="BC28" i="8"/>
  <c r="BC116" i="3"/>
  <c r="BC102" i="3"/>
  <c r="BC61" i="3"/>
  <c r="BC76" i="3" s="1"/>
  <c r="BC89" i="3" s="1"/>
  <c r="BC44" i="1"/>
  <c r="BC29" i="8"/>
  <c r="BC26" i="8"/>
  <c r="BC43" i="1"/>
  <c r="BC115" i="11"/>
  <c r="BC118" i="11" s="1"/>
  <c r="BC153" i="11"/>
  <c r="BC157" i="11" s="1"/>
  <c r="BC158" i="11"/>
  <c r="BB17" i="6"/>
  <c r="X109" i="15" l="1"/>
  <c r="X106" i="15"/>
  <c r="X111" i="15"/>
  <c r="X51" i="15"/>
  <c r="X76" i="15"/>
  <c r="X116" i="15"/>
  <c r="X113" i="15"/>
  <c r="X20" i="15"/>
  <c r="X112" i="15" s="1"/>
  <c r="X63" i="15"/>
  <c r="X46" i="15"/>
  <c r="X69" i="15"/>
  <c r="X73" i="15"/>
  <c r="X107" i="15"/>
  <c r="X110" i="15"/>
  <c r="BB30" i="1"/>
  <c r="BB31" i="1"/>
  <c r="BB32" i="1"/>
  <c r="BB33" i="1"/>
  <c r="BB34" i="1"/>
  <c r="BB35" i="1"/>
  <c r="BB36" i="1"/>
  <c r="BB4" i="1"/>
  <c r="BB5" i="1"/>
  <c r="BB6" i="1"/>
  <c r="BB7" i="1"/>
  <c r="BB8" i="1"/>
  <c r="BB9" i="1"/>
  <c r="BB10" i="1"/>
  <c r="BB13" i="1"/>
  <c r="BC54" i="1" s="1"/>
  <c r="BB16" i="1"/>
  <c r="BB17" i="1"/>
  <c r="BB18" i="1"/>
  <c r="BB19" i="1"/>
  <c r="BB20" i="1"/>
  <c r="BB21" i="1"/>
  <c r="BB22" i="1"/>
  <c r="BB88" i="9"/>
  <c r="BB23" i="1" l="1"/>
  <c r="BB37" i="1"/>
  <c r="BB11" i="1"/>
  <c r="W16" i="15" l="1"/>
  <c r="W44" i="15"/>
  <c r="W54" i="15"/>
  <c r="W57" i="15"/>
  <c r="W59" i="15"/>
  <c r="W61" i="15"/>
  <c r="W67" i="15"/>
  <c r="W87" i="15"/>
  <c r="X88" i="15" s="1"/>
  <c r="W90" i="15"/>
  <c r="X92" i="15" s="1"/>
  <c r="W123" i="15"/>
  <c r="W131" i="15"/>
  <c r="W132" i="15"/>
  <c r="W133" i="15"/>
  <c r="AC3" i="15"/>
  <c r="BB1" i="5"/>
  <c r="BB51" i="5" s="1"/>
  <c r="BB7" i="5"/>
  <c r="BB69" i="5"/>
  <c r="BB91" i="5" s="1"/>
  <c r="BB72" i="5"/>
  <c r="BB73" i="5"/>
  <c r="BB78" i="5"/>
  <c r="BB80" i="5"/>
  <c r="BB87" i="5"/>
  <c r="BB88" i="5"/>
  <c r="BB89" i="5"/>
  <c r="BB95" i="5"/>
  <c r="BB97" i="5"/>
  <c r="BB1" i="4"/>
  <c r="BB41" i="4" s="1"/>
  <c r="BB54" i="4" s="1"/>
  <c r="BB69" i="4" s="1"/>
  <c r="BB30" i="4"/>
  <c r="BB31" i="4"/>
  <c r="BB32" i="4"/>
  <c r="BB33" i="4"/>
  <c r="BB34" i="4"/>
  <c r="BB35" i="4"/>
  <c r="BB36" i="4"/>
  <c r="BB37" i="4"/>
  <c r="BB38" i="4"/>
  <c r="BB39" i="4"/>
  <c r="BB43" i="4"/>
  <c r="BB45" i="4"/>
  <c r="BB46" i="4"/>
  <c r="BB49" i="4"/>
  <c r="BB51" i="4"/>
  <c r="BB52" i="4"/>
  <c r="BB56" i="4"/>
  <c r="BB60" i="4"/>
  <c r="BB62" i="4"/>
  <c r="BB66" i="4"/>
  <c r="BB67" i="4"/>
  <c r="BB72" i="4"/>
  <c r="BB74" i="4"/>
  <c r="BB80" i="4"/>
  <c r="BB81" i="4"/>
  <c r="BB83" i="4"/>
  <c r="BB84" i="4"/>
  <c r="BB88" i="4"/>
  <c r="BB89" i="4"/>
  <c r="BB90" i="4"/>
  <c r="BB91" i="4"/>
  <c r="BB92" i="4"/>
  <c r="BB96" i="4"/>
  <c r="BB102" i="4"/>
  <c r="BB1" i="7"/>
  <c r="BB43" i="7" s="1"/>
  <c r="BB46" i="7"/>
  <c r="BB49" i="7"/>
  <c r="BB65" i="7"/>
  <c r="BB66" i="7"/>
  <c r="AF10" i="7"/>
  <c r="AG10" i="7" s="1"/>
  <c r="AH10" i="7" s="1"/>
  <c r="AI10" i="7" s="1"/>
  <c r="AJ10" i="7" s="1"/>
  <c r="AK10" i="7" s="1"/>
  <c r="AL10" i="7" s="1"/>
  <c r="AM10" i="7" s="1"/>
  <c r="AN10" i="7" s="1"/>
  <c r="AO10" i="7" s="1"/>
  <c r="AP10" i="7" s="1"/>
  <c r="AQ10" i="7" s="1"/>
  <c r="AR10" i="7" s="1"/>
  <c r="AS10" i="7" s="1"/>
  <c r="AT10" i="7" s="1"/>
  <c r="AU10" i="7" s="1"/>
  <c r="AV10" i="7" s="1"/>
  <c r="AW10" i="7" s="1"/>
  <c r="AX10" i="7" s="1"/>
  <c r="AY10" i="7" s="1"/>
  <c r="AZ10" i="7" s="1"/>
  <c r="BA10" i="7" s="1"/>
  <c r="BB10" i="7" s="1"/>
  <c r="AF6" i="7"/>
  <c r="BB1" i="3"/>
  <c r="BB61" i="3" s="1"/>
  <c r="BB76" i="3" s="1"/>
  <c r="BB89" i="3" s="1"/>
  <c r="BB64" i="3"/>
  <c r="BB66" i="3"/>
  <c r="BB67" i="3"/>
  <c r="BB70" i="3"/>
  <c r="BB71" i="3"/>
  <c r="BB73" i="3"/>
  <c r="BB78" i="3"/>
  <c r="BB80" i="3"/>
  <c r="BB81" i="3"/>
  <c r="BB84" i="3"/>
  <c r="BB85" i="3"/>
  <c r="BB87" i="3"/>
  <c r="BB91" i="3"/>
  <c r="BB93" i="3"/>
  <c r="BB94" i="3"/>
  <c r="BB97" i="3"/>
  <c r="BB98" i="3"/>
  <c r="BB100" i="3"/>
  <c r="BB119" i="3"/>
  <c r="BB121" i="3"/>
  <c r="BB122" i="3"/>
  <c r="BB124" i="3"/>
  <c r="BB126" i="3"/>
  <c r="BB132" i="3"/>
  <c r="BB1" i="2"/>
  <c r="BB15" i="2"/>
  <c r="BB16" i="2"/>
  <c r="BB18" i="2"/>
  <c r="BB19" i="2"/>
  <c r="BB21" i="2"/>
  <c r="BB24" i="2"/>
  <c r="BB27" i="2"/>
  <c r="BB28" i="2"/>
  <c r="BB1" i="6"/>
  <c r="BB45" i="6" s="1"/>
  <c r="BB68" i="6" s="1"/>
  <c r="BB79" i="6" s="1"/>
  <c r="BB6" i="6"/>
  <c r="BB12" i="6"/>
  <c r="BB14" i="6"/>
  <c r="BB18" i="6"/>
  <c r="BC49" i="6" s="1"/>
  <c r="BB35" i="6"/>
  <c r="BB65" i="6"/>
  <c r="BB66" i="6"/>
  <c r="BB69" i="6"/>
  <c r="BB70" i="6"/>
  <c r="BB73" i="6"/>
  <c r="BB75" i="6"/>
  <c r="BB80" i="6"/>
  <c r="BB81" i="6"/>
  <c r="BB82" i="6"/>
  <c r="BC103" i="6" s="1"/>
  <c r="BB84" i="6"/>
  <c r="BB86" i="6"/>
  <c r="BB94" i="6"/>
  <c r="BB99" i="6"/>
  <c r="BB100" i="6"/>
  <c r="BB102" i="6"/>
  <c r="BB108" i="6"/>
  <c r="BB121" i="6"/>
  <c r="BB122" i="6"/>
  <c r="BB130" i="6"/>
  <c r="BB131" i="6"/>
  <c r="BB1" i="8"/>
  <c r="BB20" i="8" s="1"/>
  <c r="BB40" i="8"/>
  <c r="BB41" i="8"/>
  <c r="BB42" i="8"/>
  <c r="BB43" i="8"/>
  <c r="BB44" i="8"/>
  <c r="BB45" i="8"/>
  <c r="BB47" i="8"/>
  <c r="BB48" i="8"/>
  <c r="BB1" i="1"/>
  <c r="BB30" i="2" s="1"/>
  <c r="W7" i="15"/>
  <c r="W11" i="15"/>
  <c r="W13" i="15"/>
  <c r="Y13" i="15" s="1"/>
  <c r="W15" i="15"/>
  <c r="BB56" i="1"/>
  <c r="BC59" i="1" s="1"/>
  <c r="W31" i="15"/>
  <c r="W116" i="15" s="1"/>
  <c r="W33" i="15"/>
  <c r="W35" i="15"/>
  <c r="W37" i="15"/>
  <c r="W39" i="15"/>
  <c r="W40" i="15"/>
  <c r="W42" i="15"/>
  <c r="W66" i="15"/>
  <c r="BB46" i="1"/>
  <c r="BB47" i="1"/>
  <c r="BB61" i="1"/>
  <c r="BB62" i="1"/>
  <c r="BB64" i="1"/>
  <c r="BB1" i="11"/>
  <c r="BB80" i="11" s="1"/>
  <c r="BB103" i="11" s="1"/>
  <c r="BB121" i="11" s="1"/>
  <c r="BB87" i="11"/>
  <c r="BB133" i="11" s="1"/>
  <c r="BB99" i="11"/>
  <c r="BB106" i="11"/>
  <c r="BB108" i="11"/>
  <c r="BB109" i="11"/>
  <c r="BB110" i="11"/>
  <c r="BB111" i="11"/>
  <c r="BB113" i="11"/>
  <c r="BB123" i="11"/>
  <c r="BB124" i="11"/>
  <c r="BB126" i="11"/>
  <c r="BB127" i="11"/>
  <c r="BB131" i="11"/>
  <c r="BB134" i="11"/>
  <c r="BB138" i="11"/>
  <c r="BB139" i="11"/>
  <c r="BB140" i="11"/>
  <c r="BB142" i="11"/>
  <c r="BB145" i="11"/>
  <c r="BB150" i="11"/>
  <c r="BB151" i="11"/>
  <c r="BB1" i="10"/>
  <c r="BB7" i="9"/>
  <c r="BB18" i="9"/>
  <c r="BB47" i="9"/>
  <c r="BB48" i="9"/>
  <c r="BB51" i="9"/>
  <c r="BB52" i="9"/>
  <c r="BB54" i="9"/>
  <c r="BB56" i="9"/>
  <c r="BB57" i="9"/>
  <c r="BB81" i="9"/>
  <c r="BB83" i="9"/>
  <c r="BB84" i="9"/>
  <c r="BB86" i="9"/>
  <c r="H131" i="15"/>
  <c r="I131" i="15"/>
  <c r="J131" i="15"/>
  <c r="K131" i="15"/>
  <c r="L131" i="15"/>
  <c r="M131" i="15"/>
  <c r="N131" i="15"/>
  <c r="O131" i="15"/>
  <c r="P131" i="15"/>
  <c r="Q131" i="15"/>
  <c r="R131" i="15"/>
  <c r="S131" i="15"/>
  <c r="T131" i="15"/>
  <c r="U131" i="15"/>
  <c r="V131" i="15"/>
  <c r="H132" i="15"/>
  <c r="I132" i="15"/>
  <c r="J132" i="15"/>
  <c r="K132" i="15"/>
  <c r="L132" i="15"/>
  <c r="M132" i="15"/>
  <c r="N132" i="15"/>
  <c r="O132" i="15"/>
  <c r="P132" i="15"/>
  <c r="Q132" i="15"/>
  <c r="R132" i="15"/>
  <c r="S132" i="15"/>
  <c r="T132" i="15"/>
  <c r="U132" i="15"/>
  <c r="V132" i="15"/>
  <c r="H133" i="15"/>
  <c r="I133" i="15"/>
  <c r="J133" i="15"/>
  <c r="K133" i="15"/>
  <c r="L133" i="15"/>
  <c r="M133" i="15"/>
  <c r="O133" i="15"/>
  <c r="P133" i="15"/>
  <c r="Q133" i="15"/>
  <c r="R133" i="15"/>
  <c r="S133" i="15"/>
  <c r="T133" i="15"/>
  <c r="U133" i="15"/>
  <c r="V133" i="15"/>
  <c r="G133" i="15"/>
  <c r="G132" i="15"/>
  <c r="G131" i="15"/>
  <c r="K57" i="9"/>
  <c r="L57" i="9"/>
  <c r="M57" i="9"/>
  <c r="N57" i="9"/>
  <c r="O57" i="9"/>
  <c r="P57" i="9"/>
  <c r="Q57" i="9"/>
  <c r="R57" i="9"/>
  <c r="S57" i="9"/>
  <c r="T57" i="9"/>
  <c r="U57" i="9"/>
  <c r="V57" i="9"/>
  <c r="W57" i="9"/>
  <c r="X57" i="9"/>
  <c r="Y57" i="9"/>
  <c r="Z57" i="9"/>
  <c r="AA57" i="9"/>
  <c r="AB57" i="9"/>
  <c r="AC57" i="9"/>
  <c r="AD57" i="9"/>
  <c r="AE57" i="9"/>
  <c r="AF57" i="9"/>
  <c r="AG57" i="9"/>
  <c r="AH57" i="9"/>
  <c r="AI57" i="9"/>
  <c r="AJ57" i="9"/>
  <c r="AK57" i="9"/>
  <c r="AL57" i="9"/>
  <c r="AM57" i="9"/>
  <c r="AN57" i="9"/>
  <c r="AO57" i="9"/>
  <c r="AP57" i="9"/>
  <c r="AQ57" i="9"/>
  <c r="AR57" i="9"/>
  <c r="AS57" i="9"/>
  <c r="AT57" i="9"/>
  <c r="AU57" i="9"/>
  <c r="AV57" i="9"/>
  <c r="AW57" i="9"/>
  <c r="AX57" i="9"/>
  <c r="AY57" i="9"/>
  <c r="AZ57" i="9"/>
  <c r="BA57" i="9"/>
  <c r="J57" i="9"/>
  <c r="BA56" i="9"/>
  <c r="AZ56" i="9"/>
  <c r="AY56" i="9"/>
  <c r="AX56" i="9"/>
  <c r="AW56" i="9"/>
  <c r="AV56" i="9"/>
  <c r="AU56" i="9"/>
  <c r="AT56" i="9"/>
  <c r="AS56" i="9"/>
  <c r="AR56" i="9"/>
  <c r="AQ56" i="9"/>
  <c r="AP56" i="9"/>
  <c r="AO56" i="9"/>
  <c r="AN56" i="9"/>
  <c r="AM56" i="9"/>
  <c r="AL56" i="9"/>
  <c r="AK56" i="9"/>
  <c r="AJ56" i="9"/>
  <c r="AI56" i="9"/>
  <c r="AH56" i="9"/>
  <c r="AG56" i="9"/>
  <c r="AF56" i="9"/>
  <c r="AE56" i="9"/>
  <c r="AD56" i="9"/>
  <c r="AC56" i="9"/>
  <c r="AB56" i="9"/>
  <c r="AA56" i="9"/>
  <c r="Z56" i="9"/>
  <c r="Y56" i="9"/>
  <c r="X56" i="9"/>
  <c r="W56" i="9"/>
  <c r="V56" i="9"/>
  <c r="U56" i="9"/>
  <c r="T56" i="9"/>
  <c r="S56" i="9"/>
  <c r="R56" i="9"/>
  <c r="Q56" i="9"/>
  <c r="P56" i="9"/>
  <c r="O56" i="9"/>
  <c r="N56" i="9"/>
  <c r="M56" i="9"/>
  <c r="L56" i="9"/>
  <c r="K56" i="9"/>
  <c r="J56" i="9"/>
  <c r="I56" i="9"/>
  <c r="BA88" i="9"/>
  <c r="CM24" i="1"/>
  <c r="CJ24" i="1"/>
  <c r="CK24" i="1"/>
  <c r="CL24" i="1"/>
  <c r="CI24" i="1"/>
  <c r="BA36" i="1"/>
  <c r="BA35" i="1"/>
  <c r="BA22" i="1"/>
  <c r="BA21" i="1"/>
  <c r="BA10" i="1"/>
  <c r="BA9" i="1"/>
  <c r="BA34" i="1"/>
  <c r="BA33" i="1"/>
  <c r="BA32" i="1"/>
  <c r="BA31" i="1"/>
  <c r="BA30" i="1"/>
  <c r="BA20" i="1"/>
  <c r="BA19" i="1"/>
  <c r="BA18" i="1"/>
  <c r="BA17" i="1"/>
  <c r="BA16" i="1"/>
  <c r="BA13" i="1"/>
  <c r="BA8" i="1"/>
  <c r="BA7" i="1"/>
  <c r="BA6" i="1"/>
  <c r="BA5" i="1"/>
  <c r="BA4" i="1"/>
  <c r="BA1" i="1"/>
  <c r="BB51" i="7" l="1"/>
  <c r="BC10" i="7"/>
  <c r="BC51" i="7" s="1"/>
  <c r="BB65" i="9"/>
  <c r="BC60" i="9"/>
  <c r="BB95" i="4"/>
  <c r="BB101" i="4" s="1"/>
  <c r="W49" i="15"/>
  <c r="V16" i="15"/>
  <c r="BB79" i="4"/>
  <c r="CM25" i="1"/>
  <c r="BB107" i="6"/>
  <c r="AG6" i="7"/>
  <c r="W120" i="15"/>
  <c r="AA3" i="15"/>
  <c r="BB70" i="5"/>
  <c r="W134" i="15"/>
  <c r="BB146" i="11"/>
  <c r="BB58" i="4"/>
  <c r="BB45" i="1"/>
  <c r="BB13" i="2"/>
  <c r="BB118" i="3"/>
  <c r="BB54" i="1"/>
  <c r="W118" i="15"/>
  <c r="W78" i="15"/>
  <c r="W122" i="15"/>
  <c r="W121" i="15"/>
  <c r="W81" i="15"/>
  <c r="W119" i="15"/>
  <c r="W79" i="15"/>
  <c r="BB54" i="7"/>
  <c r="BB52" i="7"/>
  <c r="W2" i="15"/>
  <c r="BB65" i="1"/>
  <c r="BB50" i="1"/>
  <c r="BB71" i="4"/>
  <c r="BB141" i="11"/>
  <c r="BB120" i="6"/>
  <c r="BB51" i="3"/>
  <c r="W71" i="15"/>
  <c r="W56" i="15"/>
  <c r="W126" i="15" s="1"/>
  <c r="W128" i="15" s="1"/>
  <c r="W22" i="15"/>
  <c r="BB158" i="11"/>
  <c r="W18" i="15"/>
  <c r="W9" i="15"/>
  <c r="BB44" i="1"/>
  <c r="W76" i="15"/>
  <c r="W117" i="15"/>
  <c r="AB3" i="15"/>
  <c r="BB86" i="5"/>
  <c r="BB76" i="5"/>
  <c r="BB79" i="7"/>
  <c r="BB84" i="7"/>
  <c r="BB68" i="7"/>
  <c r="BB63" i="7"/>
  <c r="BB116" i="3"/>
  <c r="BB102" i="3"/>
  <c r="BB5" i="8"/>
  <c r="BB43" i="1"/>
  <c r="BB42" i="1"/>
  <c r="BB115" i="11"/>
  <c r="BB118" i="11" s="1"/>
  <c r="BB153" i="11"/>
  <c r="BB68" i="9"/>
  <c r="BB87" i="9"/>
  <c r="BB64" i="9"/>
  <c r="BB67" i="9"/>
  <c r="BB63" i="9"/>
  <c r="BB21" i="9"/>
  <c r="BB66" i="9"/>
  <c r="J134" i="15"/>
  <c r="CM18" i="1"/>
  <c r="O134" i="15"/>
  <c r="L134" i="15"/>
  <c r="P134" i="15"/>
  <c r="G134" i="15"/>
  <c r="CM22" i="1"/>
  <c r="T134" i="15"/>
  <c r="R134" i="15"/>
  <c r="CM20" i="1"/>
  <c r="V134" i="15"/>
  <c r="U134" i="15"/>
  <c r="M134" i="15"/>
  <c r="S134" i="15"/>
  <c r="K134" i="15"/>
  <c r="Q134" i="15"/>
  <c r="I134" i="15"/>
  <c r="CM21" i="1"/>
  <c r="CM17" i="1"/>
  <c r="H134" i="15"/>
  <c r="CM19" i="1"/>
  <c r="CM16" i="1"/>
  <c r="V44" i="15"/>
  <c r="V54" i="15"/>
  <c r="V57" i="15"/>
  <c r="V59" i="15"/>
  <c r="V61" i="15"/>
  <c r="V67" i="15"/>
  <c r="V87" i="15"/>
  <c r="W88" i="15" s="1"/>
  <c r="V90" i="15"/>
  <c r="W92" i="15" s="1"/>
  <c r="BA1" i="5"/>
  <c r="BA51" i="5" s="1"/>
  <c r="BA7" i="5"/>
  <c r="BA69" i="5"/>
  <c r="BA72" i="5"/>
  <c r="BA73" i="5"/>
  <c r="BA78" i="5"/>
  <c r="BA80" i="5"/>
  <c r="BA87" i="5"/>
  <c r="BA88" i="5"/>
  <c r="BA89" i="5"/>
  <c r="BA95" i="5"/>
  <c r="BA97" i="5"/>
  <c r="BA1" i="4"/>
  <c r="BA41" i="4" s="1"/>
  <c r="BA54" i="4" s="1"/>
  <c r="BA69" i="4" s="1"/>
  <c r="BA30" i="4"/>
  <c r="BA31" i="4"/>
  <c r="BA32" i="4"/>
  <c r="BA33" i="4"/>
  <c r="BA34" i="4"/>
  <c r="BA35" i="4"/>
  <c r="BA36" i="4"/>
  <c r="BA37" i="4"/>
  <c r="BA38" i="4"/>
  <c r="BA39" i="4"/>
  <c r="BA43" i="4"/>
  <c r="BA45" i="4"/>
  <c r="BA46" i="4"/>
  <c r="BA49" i="4"/>
  <c r="BA51" i="4"/>
  <c r="BA52" i="4"/>
  <c r="BA56" i="4"/>
  <c r="BA60" i="4"/>
  <c r="BA62" i="4"/>
  <c r="BA66" i="4"/>
  <c r="BA67" i="4"/>
  <c r="BA72" i="4"/>
  <c r="BA74" i="4"/>
  <c r="BA80" i="4"/>
  <c r="BA81" i="4"/>
  <c r="BA83" i="4"/>
  <c r="BA84" i="4"/>
  <c r="BA88" i="4"/>
  <c r="BA89" i="4"/>
  <c r="BA90" i="4"/>
  <c r="BA91" i="4"/>
  <c r="BA92" i="4"/>
  <c r="BA96" i="4"/>
  <c r="BA102" i="4"/>
  <c r="BA1" i="10"/>
  <c r="BA1" i="11"/>
  <c r="BA80" i="11" s="1"/>
  <c r="BA103" i="11" s="1"/>
  <c r="BA121" i="11" s="1"/>
  <c r="BA87" i="11"/>
  <c r="BA133" i="11" s="1"/>
  <c r="BA99" i="11"/>
  <c r="BA106" i="11"/>
  <c r="BA108" i="11"/>
  <c r="BA109" i="11"/>
  <c r="BA110" i="11"/>
  <c r="BA111" i="11"/>
  <c r="BA113" i="11"/>
  <c r="BA123" i="11"/>
  <c r="BA124" i="11"/>
  <c r="BA126" i="11"/>
  <c r="BA127" i="11"/>
  <c r="BA131" i="11"/>
  <c r="BA134" i="11"/>
  <c r="BA138" i="11"/>
  <c r="BA139" i="11"/>
  <c r="BA140" i="11"/>
  <c r="BA142" i="11"/>
  <c r="BA145" i="11"/>
  <c r="BA150" i="11"/>
  <c r="BA151" i="11"/>
  <c r="BA13" i="2"/>
  <c r="V7" i="15"/>
  <c r="V9" i="15"/>
  <c r="V11" i="15"/>
  <c r="V13" i="15"/>
  <c r="V15" i="15"/>
  <c r="V18" i="15"/>
  <c r="BA118" i="3"/>
  <c r="V33" i="15"/>
  <c r="V35" i="15"/>
  <c r="V37" i="15"/>
  <c r="V40" i="15"/>
  <c r="V42" i="15"/>
  <c r="V66" i="15"/>
  <c r="BA47" i="1"/>
  <c r="BA61" i="1"/>
  <c r="BA62" i="1"/>
  <c r="BA64" i="1"/>
  <c r="BA1" i="8"/>
  <c r="BA20" i="8" s="1"/>
  <c r="BA40" i="8"/>
  <c r="BA41" i="8"/>
  <c r="BA42" i="8"/>
  <c r="BA43" i="8"/>
  <c r="BA44" i="8"/>
  <c r="BA45" i="8"/>
  <c r="BA47" i="8"/>
  <c r="BA48" i="8"/>
  <c r="BA1" i="6"/>
  <c r="BA130" i="6" s="1"/>
  <c r="BA6" i="6"/>
  <c r="BA12" i="6"/>
  <c r="BA14" i="6"/>
  <c r="BA17" i="6"/>
  <c r="BA18" i="6" s="1"/>
  <c r="BB49" i="6" s="1"/>
  <c r="BA35" i="6"/>
  <c r="BA65" i="6"/>
  <c r="BA66" i="6"/>
  <c r="BA69" i="6"/>
  <c r="BA70" i="6"/>
  <c r="BA73" i="6"/>
  <c r="BA75" i="6"/>
  <c r="BA80" i="6"/>
  <c r="BA81" i="6"/>
  <c r="BA82" i="6"/>
  <c r="BB103" i="6" s="1"/>
  <c r="BA84" i="6"/>
  <c r="BA86" i="6"/>
  <c r="BA94" i="6"/>
  <c r="BA99" i="6"/>
  <c r="BA100" i="6"/>
  <c r="BA102" i="6"/>
  <c r="BA108" i="6"/>
  <c r="BA121" i="6"/>
  <c r="BA122" i="6"/>
  <c r="BA131" i="6"/>
  <c r="BA1" i="2"/>
  <c r="BA15" i="2"/>
  <c r="BA16" i="2"/>
  <c r="BA18" i="2"/>
  <c r="BA19" i="2"/>
  <c r="BA21" i="2"/>
  <c r="BA24" i="2"/>
  <c r="BA27" i="2"/>
  <c r="BA28" i="2"/>
  <c r="BA1" i="3"/>
  <c r="BA61" i="3" s="1"/>
  <c r="BA76" i="3" s="1"/>
  <c r="BA89" i="3" s="1"/>
  <c r="BA64" i="3"/>
  <c r="BA66" i="3"/>
  <c r="BA67" i="3"/>
  <c r="BA70" i="3"/>
  <c r="BA71" i="3"/>
  <c r="BA73" i="3"/>
  <c r="BA78" i="3"/>
  <c r="BA80" i="3"/>
  <c r="BA81" i="3"/>
  <c r="BA84" i="3"/>
  <c r="BA85" i="3"/>
  <c r="BA87" i="3"/>
  <c r="BA91" i="3"/>
  <c r="BA93" i="3"/>
  <c r="BA94" i="3"/>
  <c r="BA97" i="3"/>
  <c r="BA98" i="3"/>
  <c r="BA100" i="3"/>
  <c r="BA119" i="3"/>
  <c r="BA121" i="3"/>
  <c r="BA122" i="3"/>
  <c r="BA124" i="3"/>
  <c r="BA126" i="3"/>
  <c r="BA132" i="3"/>
  <c r="BA1" i="7"/>
  <c r="BA43" i="7" s="1"/>
  <c r="BA46" i="7"/>
  <c r="BA49" i="7"/>
  <c r="BA65" i="7"/>
  <c r="BA66" i="7"/>
  <c r="BA7" i="9"/>
  <c r="BA67" i="9" s="1"/>
  <c r="BA18" i="9"/>
  <c r="BA47" i="9"/>
  <c r="BA48" i="9"/>
  <c r="BA51" i="9"/>
  <c r="BA52" i="9"/>
  <c r="BA54" i="9"/>
  <c r="BA81" i="9"/>
  <c r="BA83" i="9"/>
  <c r="BA84" i="9"/>
  <c r="BA86" i="9"/>
  <c r="AZ47" i="9"/>
  <c r="BC52" i="7" l="1"/>
  <c r="BC54" i="7"/>
  <c r="W107" i="15"/>
  <c r="X24" i="15"/>
  <c r="BB22" i="9"/>
  <c r="BC79" i="9"/>
  <c r="AH6" i="7"/>
  <c r="V123" i="15"/>
  <c r="V49" i="15"/>
  <c r="BB25" i="8"/>
  <c r="BB24" i="8"/>
  <c r="W110" i="15"/>
  <c r="W109" i="15"/>
  <c r="W46" i="15"/>
  <c r="W108" i="15"/>
  <c r="W69" i="15"/>
  <c r="W106" i="15"/>
  <c r="W77" i="15"/>
  <c r="W82" i="15"/>
  <c r="W111" i="15"/>
  <c r="W73" i="15"/>
  <c r="BB29" i="8"/>
  <c r="BB28" i="8"/>
  <c r="BB27" i="8"/>
  <c r="BB26" i="8"/>
  <c r="W26" i="15"/>
  <c r="W51" i="15" s="1"/>
  <c r="W20" i="15"/>
  <c r="W112" i="15" s="1"/>
  <c r="W113" i="15"/>
  <c r="W63" i="15"/>
  <c r="W105" i="15"/>
  <c r="BB157" i="11"/>
  <c r="BB60" i="9"/>
  <c r="BA65" i="9"/>
  <c r="V122" i="15"/>
  <c r="BA141" i="11"/>
  <c r="V119" i="15"/>
  <c r="V118" i="15"/>
  <c r="V121" i="15"/>
  <c r="V117" i="15"/>
  <c r="V71" i="15"/>
  <c r="BA44" i="1"/>
  <c r="BA120" i="6"/>
  <c r="V78" i="15"/>
  <c r="V77" i="15"/>
  <c r="V81" i="15"/>
  <c r="BA79" i="4"/>
  <c r="BA70" i="5"/>
  <c r="BA30" i="2"/>
  <c r="BA42" i="1"/>
  <c r="V31" i="15"/>
  <c r="V116" i="15" s="1"/>
  <c r="BA50" i="1"/>
  <c r="V22" i="15"/>
  <c r="W24" i="15" s="1"/>
  <c r="V39" i="15"/>
  <c r="V120" i="15" s="1"/>
  <c r="BA46" i="1"/>
  <c r="BA45" i="1"/>
  <c r="V56" i="15"/>
  <c r="V126" i="15" s="1"/>
  <c r="V128" i="15" s="1"/>
  <c r="BA66" i="9"/>
  <c r="V2" i="15"/>
  <c r="V79" i="15"/>
  <c r="V82" i="15"/>
  <c r="BA91" i="5"/>
  <c r="BA87" i="9"/>
  <c r="BA107" i="6"/>
  <c r="BA45" i="6"/>
  <c r="BA68" i="6" s="1"/>
  <c r="BA79" i="6" s="1"/>
  <c r="BA65" i="1"/>
  <c r="BA71" i="4"/>
  <c r="BA102" i="3"/>
  <c r="BA95" i="4"/>
  <c r="BA101" i="4" s="1"/>
  <c r="BA51" i="3"/>
  <c r="BA56" i="1"/>
  <c r="BB59" i="1" s="1"/>
  <c r="BA116" i="3"/>
  <c r="BA146" i="11"/>
  <c r="BA21" i="9"/>
  <c r="BA22" i="9" s="1"/>
  <c r="BA58" i="4"/>
  <c r="BA63" i="9"/>
  <c r="BA68" i="9"/>
  <c r="BA76" i="5"/>
  <c r="BA86" i="5"/>
  <c r="BA23" i="1"/>
  <c r="BA5" i="8"/>
  <c r="BA25" i="8" s="1"/>
  <c r="BA37" i="1"/>
  <c r="BA43" i="1"/>
  <c r="BA115" i="11"/>
  <c r="BA118" i="11" s="1"/>
  <c r="BA158" i="11"/>
  <c r="BA153" i="11"/>
  <c r="BA64" i="9"/>
  <c r="BA11" i="1"/>
  <c r="BA84" i="7"/>
  <c r="BA63" i="7"/>
  <c r="BA79" i="7"/>
  <c r="BA68" i="7"/>
  <c r="S57" i="15"/>
  <c r="T57" i="15"/>
  <c r="U57" i="15"/>
  <c r="U44" i="15"/>
  <c r="U54" i="15"/>
  <c r="U59" i="15"/>
  <c r="U61" i="15"/>
  <c r="U67" i="15"/>
  <c r="U87" i="15"/>
  <c r="V88" i="15" s="1"/>
  <c r="U90" i="15"/>
  <c r="V92" i="15" s="1"/>
  <c r="AI6" i="7" l="1"/>
  <c r="U123" i="15"/>
  <c r="V109" i="15"/>
  <c r="BB79" i="9"/>
  <c r="CM23" i="1"/>
  <c r="V73" i="15"/>
  <c r="V106" i="15"/>
  <c r="V111" i="15"/>
  <c r="V20" i="15"/>
  <c r="V107" i="15"/>
  <c r="V108" i="15"/>
  <c r="V26" i="15"/>
  <c r="V105" i="15"/>
  <c r="V113" i="15"/>
  <c r="V110" i="15"/>
  <c r="V46" i="15"/>
  <c r="V76" i="15"/>
  <c r="V69" i="15"/>
  <c r="V63" i="15"/>
  <c r="BA29" i="8"/>
  <c r="BA28" i="8"/>
  <c r="BA27" i="8"/>
  <c r="BA24" i="8"/>
  <c r="BA26" i="8"/>
  <c r="BA157" i="11"/>
  <c r="U56" i="15"/>
  <c r="U126" i="15" s="1"/>
  <c r="U128" i="15" s="1"/>
  <c r="X136" i="15" s="1"/>
  <c r="U71" i="15"/>
  <c r="AZ1" i="10"/>
  <c r="AZ1" i="11"/>
  <c r="AZ80" i="11" s="1"/>
  <c r="AZ103" i="11" s="1"/>
  <c r="AZ121" i="11" s="1"/>
  <c r="AZ87" i="11"/>
  <c r="AZ133" i="11" s="1"/>
  <c r="AZ99" i="11"/>
  <c r="AZ106" i="11"/>
  <c r="AZ108" i="11"/>
  <c r="AZ109" i="11"/>
  <c r="AZ110" i="11"/>
  <c r="AZ111" i="11"/>
  <c r="AZ113" i="11"/>
  <c r="AZ123" i="11"/>
  <c r="AZ124" i="11"/>
  <c r="AZ126" i="11"/>
  <c r="AZ127" i="11"/>
  <c r="AZ131" i="11"/>
  <c r="AZ134" i="11"/>
  <c r="AZ138" i="11"/>
  <c r="AZ139" i="11"/>
  <c r="AZ140" i="11"/>
  <c r="AZ142" i="11"/>
  <c r="AZ145" i="11"/>
  <c r="AZ150" i="11"/>
  <c r="AZ151" i="11"/>
  <c r="AZ1" i="1"/>
  <c r="AZ4" i="1"/>
  <c r="AZ5" i="1"/>
  <c r="AZ6" i="1"/>
  <c r="AZ7" i="1"/>
  <c r="AZ8" i="1"/>
  <c r="AZ9" i="1"/>
  <c r="AZ10" i="1"/>
  <c r="AZ13" i="1"/>
  <c r="AZ16" i="1"/>
  <c r="AZ17" i="1"/>
  <c r="AZ18" i="1"/>
  <c r="AZ19" i="1"/>
  <c r="AZ20" i="1"/>
  <c r="AZ21" i="1"/>
  <c r="AZ22" i="1"/>
  <c r="AZ30" i="1"/>
  <c r="AZ31" i="1"/>
  <c r="AZ32" i="1"/>
  <c r="AZ33" i="1"/>
  <c r="AZ34" i="1"/>
  <c r="AZ35" i="1"/>
  <c r="AZ36" i="1"/>
  <c r="AZ47" i="1"/>
  <c r="AZ61" i="1"/>
  <c r="AZ62" i="1"/>
  <c r="AZ64" i="1"/>
  <c r="AZ1" i="8"/>
  <c r="AZ20" i="8" s="1"/>
  <c r="AZ40" i="8"/>
  <c r="AZ41" i="8"/>
  <c r="AZ42" i="8"/>
  <c r="AZ43" i="8"/>
  <c r="AZ44" i="8"/>
  <c r="AZ45" i="8"/>
  <c r="AZ47" i="8"/>
  <c r="AZ48" i="8"/>
  <c r="AZ1" i="6"/>
  <c r="AZ107" i="6" s="1"/>
  <c r="AZ6" i="6"/>
  <c r="AZ12" i="6"/>
  <c r="AZ14" i="6"/>
  <c r="AZ17" i="6"/>
  <c r="AZ18" i="6" s="1"/>
  <c r="BA49" i="6" s="1"/>
  <c r="AZ35" i="6"/>
  <c r="AZ65" i="6"/>
  <c r="AZ66" i="6"/>
  <c r="AZ69" i="6"/>
  <c r="AZ70" i="6"/>
  <c r="AZ73" i="6"/>
  <c r="AZ75" i="6"/>
  <c r="AZ80" i="6"/>
  <c r="AZ81" i="6"/>
  <c r="AZ82" i="6"/>
  <c r="BA103" i="6" s="1"/>
  <c r="AZ84" i="6"/>
  <c r="AZ86" i="6"/>
  <c r="AZ94" i="6"/>
  <c r="AZ99" i="6"/>
  <c r="AZ100" i="6"/>
  <c r="AZ102" i="6"/>
  <c r="AZ108" i="6"/>
  <c r="AZ121" i="6"/>
  <c r="AZ122" i="6"/>
  <c r="AZ131" i="6"/>
  <c r="AZ1" i="2"/>
  <c r="AZ15" i="2"/>
  <c r="AZ16" i="2"/>
  <c r="AZ18" i="2"/>
  <c r="AZ19" i="2"/>
  <c r="AZ21" i="2"/>
  <c r="AZ24" i="2"/>
  <c r="AZ27" i="2"/>
  <c r="AZ28" i="2"/>
  <c r="AZ1" i="3"/>
  <c r="AZ51" i="3" s="1"/>
  <c r="AZ64" i="3"/>
  <c r="AZ66" i="3"/>
  <c r="AZ67" i="3"/>
  <c r="AZ70" i="3"/>
  <c r="AZ71" i="3"/>
  <c r="AZ73" i="3"/>
  <c r="AZ78" i="3"/>
  <c r="AZ80" i="3"/>
  <c r="AZ81" i="3"/>
  <c r="AZ84" i="3"/>
  <c r="AZ85" i="3"/>
  <c r="AZ87" i="3"/>
  <c r="AZ91" i="3"/>
  <c r="AZ93" i="3"/>
  <c r="AZ94" i="3"/>
  <c r="AZ97" i="3"/>
  <c r="AZ98" i="3"/>
  <c r="AZ100" i="3"/>
  <c r="AZ119" i="3"/>
  <c r="AZ121" i="3"/>
  <c r="AZ122" i="3"/>
  <c r="AZ124" i="3"/>
  <c r="AZ126" i="3"/>
  <c r="AZ132" i="3"/>
  <c r="AZ1" i="7"/>
  <c r="AZ43" i="7" s="1"/>
  <c r="AZ46" i="7"/>
  <c r="AZ49" i="7"/>
  <c r="AZ65" i="7"/>
  <c r="AZ66" i="7"/>
  <c r="AZ1" i="4"/>
  <c r="AZ41" i="4" s="1"/>
  <c r="AZ54" i="4" s="1"/>
  <c r="AZ69" i="4" s="1"/>
  <c r="AZ30" i="4"/>
  <c r="AZ31" i="4"/>
  <c r="AZ32" i="4"/>
  <c r="AZ33" i="4"/>
  <c r="AZ34" i="4"/>
  <c r="AZ35" i="4"/>
  <c r="AZ36" i="4"/>
  <c r="AZ37" i="4"/>
  <c r="AZ38" i="4"/>
  <c r="AZ39" i="4"/>
  <c r="AZ43" i="4"/>
  <c r="AZ45" i="4"/>
  <c r="AZ46" i="4"/>
  <c r="AZ49" i="4"/>
  <c r="AZ51" i="4"/>
  <c r="AZ52" i="4"/>
  <c r="AZ56" i="4"/>
  <c r="AZ60" i="4"/>
  <c r="AZ62" i="4"/>
  <c r="AZ66" i="4"/>
  <c r="AZ67" i="4"/>
  <c r="AZ72" i="4"/>
  <c r="AZ74" i="4"/>
  <c r="AZ80" i="4"/>
  <c r="AZ81" i="4"/>
  <c r="AZ83" i="4"/>
  <c r="AZ84" i="4"/>
  <c r="AZ88" i="4"/>
  <c r="AZ89" i="4"/>
  <c r="AZ90" i="4"/>
  <c r="AZ91" i="4"/>
  <c r="AZ92" i="4"/>
  <c r="AZ96" i="4"/>
  <c r="BC97" i="4" s="1"/>
  <c r="AZ102" i="4"/>
  <c r="AZ1" i="5"/>
  <c r="AZ51" i="5" s="1"/>
  <c r="AZ7" i="5"/>
  <c r="AZ69" i="5"/>
  <c r="AZ91" i="5" s="1"/>
  <c r="AZ72" i="5"/>
  <c r="AZ73" i="5"/>
  <c r="AZ78" i="5"/>
  <c r="AZ80" i="5"/>
  <c r="AZ87" i="5"/>
  <c r="AZ88" i="5"/>
  <c r="AZ89" i="5"/>
  <c r="AZ95" i="5"/>
  <c r="AZ97" i="5"/>
  <c r="AZ7" i="9"/>
  <c r="AZ18" i="9"/>
  <c r="AZ48" i="9"/>
  <c r="AZ51" i="9"/>
  <c r="AZ52" i="9"/>
  <c r="AZ54" i="9"/>
  <c r="AZ81" i="9"/>
  <c r="AZ83" i="9"/>
  <c r="AZ84" i="9"/>
  <c r="AZ86" i="9"/>
  <c r="AJ6" i="7" l="1"/>
  <c r="V51" i="15"/>
  <c r="V112" i="15"/>
  <c r="U18" i="15"/>
  <c r="U16" i="15"/>
  <c r="U66" i="15"/>
  <c r="U15" i="15"/>
  <c r="U7" i="15"/>
  <c r="U13" i="15"/>
  <c r="U11" i="15"/>
  <c r="CL25" i="1"/>
  <c r="U9" i="15"/>
  <c r="U33" i="15"/>
  <c r="U117" i="15" s="1"/>
  <c r="CL17" i="1"/>
  <c r="U42" i="15"/>
  <c r="CL22" i="1"/>
  <c r="U40" i="15"/>
  <c r="U121" i="15" s="1"/>
  <c r="CL21" i="1"/>
  <c r="U39" i="15"/>
  <c r="U120" i="15" s="1"/>
  <c r="CL20" i="1"/>
  <c r="U37" i="15"/>
  <c r="U119" i="15" s="1"/>
  <c r="CL19" i="1"/>
  <c r="U35" i="15"/>
  <c r="U118" i="15" s="1"/>
  <c r="CL18" i="1"/>
  <c r="U31" i="15"/>
  <c r="U116" i="15" s="1"/>
  <c r="CL16" i="1"/>
  <c r="AZ64" i="9"/>
  <c r="BA60" i="9"/>
  <c r="U22" i="15"/>
  <c r="BA54" i="1"/>
  <c r="AZ13" i="2"/>
  <c r="U2" i="15"/>
  <c r="AZ50" i="1"/>
  <c r="AZ45" i="1"/>
  <c r="AZ46" i="1"/>
  <c r="AZ30" i="2"/>
  <c r="AZ153" i="11"/>
  <c r="AZ157" i="11" s="1"/>
  <c r="AZ67" i="9"/>
  <c r="AZ141" i="11"/>
  <c r="AZ115" i="11"/>
  <c r="AZ118" i="11" s="1"/>
  <c r="AZ37" i="1"/>
  <c r="AZ118" i="3"/>
  <c r="AZ70" i="5"/>
  <c r="AZ63" i="9"/>
  <c r="AZ116" i="3"/>
  <c r="AZ158" i="11"/>
  <c r="AZ44" i="1"/>
  <c r="AZ95" i="4"/>
  <c r="AZ101" i="4" s="1"/>
  <c r="AZ71" i="4"/>
  <c r="AZ65" i="1"/>
  <c r="AZ146" i="11"/>
  <c r="AZ56" i="1"/>
  <c r="AZ58" i="4"/>
  <c r="AZ43" i="1"/>
  <c r="AZ11" i="1"/>
  <c r="AZ23" i="1"/>
  <c r="AZ79" i="4"/>
  <c r="AZ84" i="7"/>
  <c r="AZ79" i="7"/>
  <c r="AZ63" i="7"/>
  <c r="AZ68" i="7"/>
  <c r="AZ86" i="5"/>
  <c r="AZ76" i="5"/>
  <c r="AZ21" i="9"/>
  <c r="BA79" i="9" s="1"/>
  <c r="AZ102" i="3"/>
  <c r="AZ61" i="3"/>
  <c r="AZ76" i="3" s="1"/>
  <c r="AZ89" i="3" s="1"/>
  <c r="AZ130" i="6"/>
  <c r="AZ5" i="8"/>
  <c r="AZ68" i="9"/>
  <c r="AZ42" i="1"/>
  <c r="AZ66" i="9"/>
  <c r="AZ120" i="6"/>
  <c r="AZ45" i="6"/>
  <c r="AZ68" i="6" s="1"/>
  <c r="AZ79" i="6" s="1"/>
  <c r="AZ87" i="9"/>
  <c r="AZ65" i="9"/>
  <c r="AM3" i="15"/>
  <c r="AK6" i="7" l="1"/>
  <c r="U122" i="15"/>
  <c r="U49" i="15"/>
  <c r="U20" i="15"/>
  <c r="CL23" i="1"/>
  <c r="U76" i="15"/>
  <c r="U81" i="15"/>
  <c r="U82" i="15"/>
  <c r="U77" i="15"/>
  <c r="U78" i="15"/>
  <c r="U79" i="15"/>
  <c r="V24" i="15"/>
  <c r="U109" i="15"/>
  <c r="U108" i="15"/>
  <c r="U107" i="15"/>
  <c r="U111" i="15"/>
  <c r="U110" i="15"/>
  <c r="U106" i="15"/>
  <c r="U113" i="15"/>
  <c r="U105" i="15"/>
  <c r="BA59" i="1"/>
  <c r="U46" i="15"/>
  <c r="U69" i="15"/>
  <c r="U73" i="15"/>
  <c r="U26" i="15"/>
  <c r="U63" i="15"/>
  <c r="AL3" i="15"/>
  <c r="AZ22" i="9"/>
  <c r="AZ25" i="8"/>
  <c r="AZ26" i="8"/>
  <c r="AZ28" i="8"/>
  <c r="AZ27" i="8"/>
  <c r="AZ29" i="8"/>
  <c r="AZ24" i="8"/>
  <c r="AL6" i="7" l="1"/>
  <c r="U51" i="15"/>
  <c r="U112" i="15"/>
  <c r="F2" i="1"/>
  <c r="G2" i="1" s="1"/>
  <c r="H2" i="1" s="1"/>
  <c r="I2" i="1" s="1"/>
  <c r="J2" i="1" s="1"/>
  <c r="K2" i="1" s="1"/>
  <c r="L2" i="1" s="1"/>
  <c r="M2" i="1" s="1"/>
  <c r="N2" i="1" s="1"/>
  <c r="O2" i="1" s="1"/>
  <c r="P2" i="1" s="1"/>
  <c r="Q2" i="1" s="1"/>
  <c r="R2" i="1" s="1"/>
  <c r="S2" i="1" s="1"/>
  <c r="T2" i="1" s="1"/>
  <c r="U2" i="1" s="1"/>
  <c r="V2" i="1" s="1"/>
  <c r="W2" i="1" s="1"/>
  <c r="X2" i="1" s="1"/>
  <c r="Y2" i="1" s="1"/>
  <c r="Z2" i="1" s="1"/>
  <c r="AA2" i="1" s="1"/>
  <c r="AB2" i="1" s="1"/>
  <c r="AC2" i="1" s="1"/>
  <c r="AD2" i="1" s="1"/>
  <c r="AE2" i="1" s="1"/>
  <c r="AF2" i="1" s="1"/>
  <c r="AG2" i="1" s="1"/>
  <c r="AH2" i="1" s="1"/>
  <c r="E44" i="15"/>
  <c r="F44" i="15"/>
  <c r="G44" i="15"/>
  <c r="H44" i="15"/>
  <c r="I44" i="15"/>
  <c r="E54" i="15"/>
  <c r="F54" i="15"/>
  <c r="G54" i="15"/>
  <c r="H54" i="15"/>
  <c r="I54" i="15"/>
  <c r="E57" i="15"/>
  <c r="F57" i="15"/>
  <c r="G57" i="15"/>
  <c r="H57" i="15"/>
  <c r="I57" i="15"/>
  <c r="E59" i="15"/>
  <c r="F59" i="15"/>
  <c r="G59" i="15"/>
  <c r="H59" i="15"/>
  <c r="I59" i="15"/>
  <c r="E61" i="15"/>
  <c r="F61" i="15"/>
  <c r="G61" i="15"/>
  <c r="H61" i="15"/>
  <c r="I61" i="15"/>
  <c r="E67" i="15"/>
  <c r="F67" i="15"/>
  <c r="G67" i="15"/>
  <c r="H67" i="15"/>
  <c r="I67" i="15"/>
  <c r="E87" i="15"/>
  <c r="F87" i="15"/>
  <c r="G87" i="15"/>
  <c r="H87" i="15"/>
  <c r="I87" i="15"/>
  <c r="E90" i="15"/>
  <c r="F90" i="15"/>
  <c r="G90" i="15"/>
  <c r="H90" i="15"/>
  <c r="I90" i="15"/>
  <c r="D90" i="15"/>
  <c r="D87" i="15"/>
  <c r="D67" i="15"/>
  <c r="D61" i="15"/>
  <c r="D59" i="15"/>
  <c r="D57" i="15"/>
  <c r="D54" i="15"/>
  <c r="D44" i="15"/>
  <c r="C90" i="15"/>
  <c r="C87" i="15"/>
  <c r="C67" i="15"/>
  <c r="C61" i="15"/>
  <c r="C59" i="15"/>
  <c r="C57" i="15"/>
  <c r="C54" i="15"/>
  <c r="C44" i="15"/>
  <c r="J90" i="15"/>
  <c r="J87" i="15"/>
  <c r="J67" i="15"/>
  <c r="J61" i="15"/>
  <c r="J59" i="15"/>
  <c r="J57" i="15"/>
  <c r="J54" i="15"/>
  <c r="J44" i="15"/>
  <c r="K90" i="15"/>
  <c r="K87" i="15"/>
  <c r="K67" i="15"/>
  <c r="K61" i="15"/>
  <c r="K59" i="15"/>
  <c r="K57" i="15"/>
  <c r="K54" i="15"/>
  <c r="K44" i="15"/>
  <c r="L90" i="15"/>
  <c r="L87" i="15"/>
  <c r="L67" i="15"/>
  <c r="L61" i="15"/>
  <c r="L59" i="15"/>
  <c r="L57" i="15"/>
  <c r="L54" i="15"/>
  <c r="L44" i="15"/>
  <c r="M90" i="15"/>
  <c r="M87" i="15"/>
  <c r="M88" i="15" s="1"/>
  <c r="M67" i="15"/>
  <c r="M61" i="15"/>
  <c r="M59" i="15"/>
  <c r="M57" i="15"/>
  <c r="M54" i="15"/>
  <c r="M44" i="15"/>
  <c r="Q90" i="15"/>
  <c r="U91" i="15" s="1"/>
  <c r="Q87" i="15"/>
  <c r="Q67" i="15"/>
  <c r="U68" i="15" s="1"/>
  <c r="Q61" i="15"/>
  <c r="U62" i="15" s="1"/>
  <c r="Q59" i="15"/>
  <c r="Q57" i="15"/>
  <c r="Q54" i="15"/>
  <c r="Q44" i="15"/>
  <c r="P90" i="15"/>
  <c r="P87" i="15"/>
  <c r="P67" i="15"/>
  <c r="P61" i="15"/>
  <c r="P59" i="15"/>
  <c r="P57" i="15"/>
  <c r="P54" i="15"/>
  <c r="P44" i="15"/>
  <c r="O90" i="15"/>
  <c r="O87" i="15"/>
  <c r="O67" i="15"/>
  <c r="O61" i="15"/>
  <c r="O59" i="15"/>
  <c r="O57" i="15"/>
  <c r="O54" i="15"/>
  <c r="O44" i="15"/>
  <c r="N90" i="15"/>
  <c r="N87" i="15"/>
  <c r="N67" i="15"/>
  <c r="N61" i="15"/>
  <c r="N59" i="15"/>
  <c r="N57" i="15"/>
  <c r="N54" i="15"/>
  <c r="N44" i="15"/>
  <c r="AY123" i="11"/>
  <c r="AY124" i="11"/>
  <c r="AY126" i="11"/>
  <c r="AY127" i="11"/>
  <c r="H123" i="15" l="1"/>
  <c r="G123" i="15"/>
  <c r="F123" i="15"/>
  <c r="E123" i="15"/>
  <c r="AM6" i="7"/>
  <c r="P123" i="15"/>
  <c r="M123" i="15"/>
  <c r="D123" i="15"/>
  <c r="O123" i="15"/>
  <c r="Q123" i="15"/>
  <c r="K123" i="15"/>
  <c r="J123" i="15"/>
  <c r="N123" i="15"/>
  <c r="L123" i="15"/>
  <c r="C123" i="15"/>
  <c r="I123" i="15"/>
  <c r="N88" i="15"/>
  <c r="M71" i="15"/>
  <c r="L71" i="15"/>
  <c r="K71" i="15"/>
  <c r="J71" i="15"/>
  <c r="C71" i="15"/>
  <c r="D71" i="15"/>
  <c r="Q71" i="15"/>
  <c r="U45" i="15"/>
  <c r="I88" i="15"/>
  <c r="F92" i="15"/>
  <c r="H71" i="15"/>
  <c r="G71" i="15"/>
  <c r="F71" i="15"/>
  <c r="I45" i="15"/>
  <c r="I71" i="15"/>
  <c r="E71" i="15"/>
  <c r="N45" i="15"/>
  <c r="N71" i="15"/>
  <c r="O45" i="15"/>
  <c r="O71" i="15"/>
  <c r="P45" i="15"/>
  <c r="P71" i="15"/>
  <c r="K88" i="15"/>
  <c r="G88" i="15"/>
  <c r="Q45" i="15"/>
  <c r="N62" i="15"/>
  <c r="O62" i="15"/>
  <c r="P62" i="15"/>
  <c r="Q62" i="15"/>
  <c r="M62" i="15"/>
  <c r="L62" i="15"/>
  <c r="K62" i="15"/>
  <c r="J62" i="15"/>
  <c r="I62" i="15"/>
  <c r="H62" i="15"/>
  <c r="G62" i="15"/>
  <c r="J45" i="15"/>
  <c r="C56" i="15"/>
  <c r="C126" i="15" s="1"/>
  <c r="C128" i="15" s="1"/>
  <c r="K45" i="15"/>
  <c r="H45" i="15"/>
  <c r="G45" i="15"/>
  <c r="F88" i="15"/>
  <c r="H88" i="15"/>
  <c r="M45" i="15"/>
  <c r="L45" i="15"/>
  <c r="E92" i="15"/>
  <c r="H68" i="15"/>
  <c r="P68" i="15"/>
  <c r="L68" i="15"/>
  <c r="K68" i="15"/>
  <c r="J68" i="15"/>
  <c r="N68" i="15"/>
  <c r="O68" i="15"/>
  <c r="M68" i="15"/>
  <c r="G68" i="15"/>
  <c r="Q68" i="15"/>
  <c r="I68" i="15"/>
  <c r="O88" i="15"/>
  <c r="Q88" i="15"/>
  <c r="D88" i="15"/>
  <c r="P88" i="15"/>
  <c r="L88" i="15"/>
  <c r="N91" i="15"/>
  <c r="N92" i="15"/>
  <c r="P92" i="15"/>
  <c r="P91" i="15"/>
  <c r="L92" i="15"/>
  <c r="L91" i="15"/>
  <c r="D92" i="15"/>
  <c r="I92" i="15"/>
  <c r="I91" i="15"/>
  <c r="H91" i="15"/>
  <c r="H92" i="15"/>
  <c r="E88" i="15"/>
  <c r="J88" i="15"/>
  <c r="O92" i="15"/>
  <c r="O91" i="15"/>
  <c r="Q92" i="15"/>
  <c r="Q91" i="15"/>
  <c r="M92" i="15"/>
  <c r="M91" i="15"/>
  <c r="K92" i="15"/>
  <c r="K91" i="15"/>
  <c r="J92" i="15"/>
  <c r="J91" i="15"/>
  <c r="G91" i="15"/>
  <c r="G92" i="15"/>
  <c r="H56" i="15"/>
  <c r="H126" i="15" s="1"/>
  <c r="H128" i="15" s="1"/>
  <c r="G56" i="15"/>
  <c r="G126" i="15" s="1"/>
  <c r="G128" i="15" s="1"/>
  <c r="K56" i="15"/>
  <c r="K126" i="15" s="1"/>
  <c r="K128" i="15" s="1"/>
  <c r="E56" i="15"/>
  <c r="E126" i="15" s="1"/>
  <c r="E128" i="15" s="1"/>
  <c r="AI2" i="1"/>
  <c r="C3" i="15"/>
  <c r="D56" i="15"/>
  <c r="D126" i="15" s="1"/>
  <c r="D128" i="15" s="1"/>
  <c r="L56" i="15"/>
  <c r="L126" i="15" s="1"/>
  <c r="L128" i="15" s="1"/>
  <c r="F56" i="15"/>
  <c r="F126" i="15" s="1"/>
  <c r="F128" i="15" s="1"/>
  <c r="J56" i="15"/>
  <c r="J126" i="15" s="1"/>
  <c r="J128" i="15" s="1"/>
  <c r="I56" i="15"/>
  <c r="I126" i="15" s="1"/>
  <c r="I128" i="15" s="1"/>
  <c r="M56" i="15"/>
  <c r="M126" i="15" s="1"/>
  <c r="M128" i="15" s="1"/>
  <c r="O56" i="15"/>
  <c r="O126" i="15" s="1"/>
  <c r="O128" i="15" s="1"/>
  <c r="P56" i="15"/>
  <c r="P126" i="15" s="1"/>
  <c r="P128" i="15" s="1"/>
  <c r="N56" i="15"/>
  <c r="N126" i="15" s="1"/>
  <c r="N128" i="15" s="1"/>
  <c r="Q56" i="15"/>
  <c r="Q126" i="15" s="1"/>
  <c r="Q128" i="15" s="1"/>
  <c r="CI12" i="1"/>
  <c r="CJ12" i="1"/>
  <c r="CK12" i="1"/>
  <c r="AN6" i="7" l="1"/>
  <c r="O136" i="15"/>
  <c r="G136" i="15"/>
  <c r="H136" i="15"/>
  <c r="Q136" i="15"/>
  <c r="M136" i="15"/>
  <c r="P136" i="15"/>
  <c r="L136" i="15"/>
  <c r="J136" i="15"/>
  <c r="I136" i="15"/>
  <c r="K136" i="15"/>
  <c r="J72" i="15"/>
  <c r="P72" i="15"/>
  <c r="N72" i="15"/>
  <c r="H72" i="15"/>
  <c r="M72" i="15"/>
  <c r="O72" i="15"/>
  <c r="G72" i="15"/>
  <c r="Q72" i="15"/>
  <c r="U72" i="15"/>
  <c r="L72" i="15"/>
  <c r="K72" i="15"/>
  <c r="I72" i="15"/>
  <c r="AJ2" i="1"/>
  <c r="D3" i="15"/>
  <c r="AY106" i="11"/>
  <c r="AO6" i="7" l="1"/>
  <c r="AK2" i="1"/>
  <c r="E3" i="15"/>
  <c r="T61" i="15"/>
  <c r="X62" i="15" s="1"/>
  <c r="T59" i="15"/>
  <c r="T54" i="15"/>
  <c r="AP6" i="7" l="1"/>
  <c r="T62" i="15"/>
  <c r="AL2" i="1"/>
  <c r="F3" i="15"/>
  <c r="T90" i="15"/>
  <c r="T87" i="15"/>
  <c r="U88" i="15" s="1"/>
  <c r="T67" i="15"/>
  <c r="X68" i="15" s="1"/>
  <c r="T44" i="15"/>
  <c r="X45" i="15" s="1"/>
  <c r="AY39" i="4"/>
  <c r="AY99" i="6"/>
  <c r="AY40" i="8"/>
  <c r="AY41" i="8"/>
  <c r="AY42" i="8"/>
  <c r="AY43" i="8"/>
  <c r="AY44" i="8"/>
  <c r="AY45" i="8"/>
  <c r="AY47" i="8"/>
  <c r="AY48" i="8"/>
  <c r="AY86" i="9"/>
  <c r="AY1" i="8"/>
  <c r="AY20" i="8" s="1"/>
  <c r="AY131" i="6"/>
  <c r="AY122" i="6"/>
  <c r="AY121" i="6"/>
  <c r="AY108" i="6"/>
  <c r="AY102" i="6"/>
  <c r="AY100" i="6"/>
  <c r="AY94" i="6"/>
  <c r="AY86" i="6"/>
  <c r="AY82" i="6"/>
  <c r="AZ103" i="6" s="1"/>
  <c r="AY81" i="6"/>
  <c r="AY80" i="6"/>
  <c r="AY75" i="6"/>
  <c r="AY73" i="6"/>
  <c r="AY70" i="6"/>
  <c r="AY69" i="6"/>
  <c r="AY66" i="6"/>
  <c r="AY65" i="6"/>
  <c r="AY35" i="6"/>
  <c r="AY17" i="6"/>
  <c r="AY18" i="6" s="1"/>
  <c r="AY14" i="6"/>
  <c r="AY12" i="6"/>
  <c r="BC67" i="6" s="1"/>
  <c r="AY6" i="6"/>
  <c r="AY1" i="6"/>
  <c r="AY130" i="6" s="1"/>
  <c r="AY28" i="2"/>
  <c r="AY27" i="2"/>
  <c r="AY24" i="2"/>
  <c r="AY21" i="2"/>
  <c r="BC22" i="2" s="1"/>
  <c r="AY19" i="2"/>
  <c r="AY18" i="2"/>
  <c r="AY16" i="2"/>
  <c r="AY15" i="2"/>
  <c r="AY1" i="2"/>
  <c r="AY132" i="3"/>
  <c r="BC133" i="3" s="1"/>
  <c r="AY126" i="3"/>
  <c r="AY124" i="3"/>
  <c r="AY122" i="3"/>
  <c r="AY121" i="3"/>
  <c r="AY119" i="3"/>
  <c r="AY100" i="3"/>
  <c r="AY98" i="3"/>
  <c r="AY97" i="3"/>
  <c r="AY94" i="3"/>
  <c r="BC95" i="3" s="1"/>
  <c r="AY93" i="3"/>
  <c r="AY91" i="3"/>
  <c r="AY87" i="3"/>
  <c r="AY85" i="3"/>
  <c r="AY84" i="3"/>
  <c r="AY81" i="3"/>
  <c r="BC82" i="3" s="1"/>
  <c r="AY80" i="3"/>
  <c r="AY78" i="3"/>
  <c r="AY73" i="3"/>
  <c r="AY71" i="3"/>
  <c r="AY70" i="3"/>
  <c r="AY67" i="3"/>
  <c r="BC68" i="3" s="1"/>
  <c r="AY66" i="3"/>
  <c r="AY64" i="3"/>
  <c r="AY1" i="3"/>
  <c r="AY116" i="3" s="1"/>
  <c r="AY66" i="7"/>
  <c r="AY65" i="7"/>
  <c r="AY49" i="7"/>
  <c r="AY46" i="7"/>
  <c r="AY1" i="7"/>
  <c r="AY43" i="7" s="1"/>
  <c r="AY102" i="4"/>
  <c r="AY96" i="4"/>
  <c r="BB97" i="4" s="1"/>
  <c r="AY92" i="4"/>
  <c r="AY91" i="4"/>
  <c r="AY90" i="4"/>
  <c r="AY89" i="4"/>
  <c r="AY88" i="4"/>
  <c r="AY84" i="4"/>
  <c r="AY83" i="4"/>
  <c r="AY81" i="4"/>
  <c r="AY80" i="4"/>
  <c r="AY74" i="4"/>
  <c r="AY72" i="4"/>
  <c r="AY67" i="4"/>
  <c r="AY66" i="4"/>
  <c r="AY62" i="4"/>
  <c r="BC64" i="4" s="1"/>
  <c r="AY60" i="4"/>
  <c r="AY56" i="4"/>
  <c r="AY52" i="4"/>
  <c r="AY51" i="4"/>
  <c r="AY49" i="4"/>
  <c r="AY46" i="4"/>
  <c r="BC47" i="4" s="1"/>
  <c r="AY45" i="4"/>
  <c r="AY43" i="4"/>
  <c r="AY38" i="4"/>
  <c r="AY37" i="4"/>
  <c r="AY36" i="4"/>
  <c r="AY35" i="4"/>
  <c r="AY34" i="4"/>
  <c r="AY33" i="4"/>
  <c r="AY32" i="4"/>
  <c r="AY31" i="4"/>
  <c r="AY30" i="4"/>
  <c r="AY1" i="4"/>
  <c r="AY41" i="4" s="1"/>
  <c r="AY54" i="4" s="1"/>
  <c r="AY69" i="4" s="1"/>
  <c r="AY97" i="5"/>
  <c r="AY95" i="5"/>
  <c r="AY89" i="5"/>
  <c r="AY88" i="5"/>
  <c r="AY87" i="5"/>
  <c r="AY80" i="5"/>
  <c r="AY78" i="5"/>
  <c r="AY73" i="5"/>
  <c r="AY72" i="5"/>
  <c r="AY69" i="5"/>
  <c r="AY91" i="5" s="1"/>
  <c r="BC96" i="5" s="1"/>
  <c r="AY7" i="5"/>
  <c r="AY1" i="5"/>
  <c r="AY51" i="5" s="1"/>
  <c r="AY86" i="5" s="1"/>
  <c r="AY64" i="1"/>
  <c r="AY62" i="1"/>
  <c r="AY61" i="1"/>
  <c r="AY47" i="1"/>
  <c r="BC67" i="1" s="1"/>
  <c r="AY36" i="1"/>
  <c r="AY35" i="1"/>
  <c r="AY34" i="1"/>
  <c r="AY33" i="1"/>
  <c r="AY32" i="1"/>
  <c r="AY31" i="1"/>
  <c r="AY30" i="1"/>
  <c r="AY22" i="1"/>
  <c r="AY21" i="1"/>
  <c r="AY20" i="1"/>
  <c r="AY19" i="1"/>
  <c r="AY18" i="1"/>
  <c r="AY17" i="1"/>
  <c r="AY16" i="1"/>
  <c r="AY13" i="1"/>
  <c r="AY10" i="1"/>
  <c r="AY9" i="1"/>
  <c r="AY8" i="1"/>
  <c r="AY7" i="1"/>
  <c r="AY6" i="1"/>
  <c r="AY5" i="1"/>
  <c r="AY4" i="1"/>
  <c r="AY1" i="1"/>
  <c r="AY151" i="11"/>
  <c r="AY150" i="11"/>
  <c r="AY145" i="11"/>
  <c r="AY142" i="11"/>
  <c r="AY140" i="11"/>
  <c r="AY139" i="11"/>
  <c r="AY138" i="11"/>
  <c r="AY134" i="11"/>
  <c r="AY131" i="11"/>
  <c r="AY113" i="11"/>
  <c r="AY111" i="11"/>
  <c r="AY110" i="11"/>
  <c r="AY109" i="11"/>
  <c r="AY108" i="11"/>
  <c r="AY99" i="11"/>
  <c r="AY87" i="11"/>
  <c r="AY133" i="11" s="1"/>
  <c r="AY1" i="11"/>
  <c r="AY80" i="11" s="1"/>
  <c r="AY103" i="11" s="1"/>
  <c r="AY121" i="11" s="1"/>
  <c r="AY1" i="10"/>
  <c r="AY84" i="9"/>
  <c r="AY83" i="9"/>
  <c r="AY81" i="9"/>
  <c r="AY54" i="9"/>
  <c r="AY52" i="9"/>
  <c r="AY51" i="9"/>
  <c r="AY48" i="9"/>
  <c r="AY18" i="9"/>
  <c r="AY7" i="9"/>
  <c r="BC53" i="1" l="1"/>
  <c r="AZ49" i="6"/>
  <c r="BC48" i="6"/>
  <c r="U92" i="15"/>
  <c r="X91" i="15"/>
  <c r="AZ60" i="9"/>
  <c r="BC59" i="9"/>
  <c r="AQ6" i="7"/>
  <c r="T123" i="15"/>
  <c r="CK18" i="1"/>
  <c r="CK16" i="1"/>
  <c r="CK19" i="1"/>
  <c r="CK20" i="1"/>
  <c r="CK21" i="1"/>
  <c r="CK17" i="1"/>
  <c r="CK22" i="1"/>
  <c r="AZ54" i="1"/>
  <c r="CK25" i="1"/>
  <c r="T35" i="15"/>
  <c r="T45" i="15"/>
  <c r="T71" i="15"/>
  <c r="T33" i="15"/>
  <c r="T37" i="15"/>
  <c r="T39" i="15"/>
  <c r="T120" i="15" s="1"/>
  <c r="T42" i="15"/>
  <c r="T66" i="15"/>
  <c r="T31" i="15"/>
  <c r="T68" i="15"/>
  <c r="T91" i="15"/>
  <c r="AY50" i="1"/>
  <c r="T2" i="15"/>
  <c r="AM2" i="1"/>
  <c r="G3" i="15"/>
  <c r="T7" i="15"/>
  <c r="X8" i="15" s="1"/>
  <c r="AY65" i="1"/>
  <c r="T9" i="15"/>
  <c r="X10" i="15" s="1"/>
  <c r="T11" i="15"/>
  <c r="X12" i="15" s="1"/>
  <c r="T13" i="15"/>
  <c r="X14" i="15" s="1"/>
  <c r="T15" i="15"/>
  <c r="T16" i="15"/>
  <c r="X17" i="15" s="1"/>
  <c r="T18" i="15"/>
  <c r="X19" i="15" s="1"/>
  <c r="AY45" i="1"/>
  <c r="AY44" i="1"/>
  <c r="AY158" i="11"/>
  <c r="AY21" i="9"/>
  <c r="BC78" i="9" s="1"/>
  <c r="T40" i="15"/>
  <c r="AY118" i="3"/>
  <c r="T22" i="15"/>
  <c r="X23" i="15" s="1"/>
  <c r="AY107" i="6"/>
  <c r="T56" i="15"/>
  <c r="T126" i="15" s="1"/>
  <c r="T128" i="15" s="1"/>
  <c r="W136" i="15" s="1"/>
  <c r="AY70" i="5"/>
  <c r="BC74" i="5" s="1"/>
  <c r="AY46" i="1"/>
  <c r="AY79" i="4"/>
  <c r="AY37" i="1"/>
  <c r="AY23" i="1"/>
  <c r="AY43" i="1"/>
  <c r="AY5" i="8"/>
  <c r="AY84" i="6"/>
  <c r="AY141" i="11"/>
  <c r="AY68" i="9"/>
  <c r="BC76" i="9" s="1"/>
  <c r="AY153" i="11"/>
  <c r="AY63" i="9"/>
  <c r="BC71" i="9" s="1"/>
  <c r="AY71" i="4"/>
  <c r="AY64" i="9"/>
  <c r="BC72" i="9" s="1"/>
  <c r="AY65" i="9"/>
  <c r="BC73" i="9" s="1"/>
  <c r="AY66" i="9"/>
  <c r="BC74" i="9" s="1"/>
  <c r="AY87" i="9"/>
  <c r="AY146" i="11"/>
  <c r="AY79" i="7"/>
  <c r="AY63" i="7"/>
  <c r="AY84" i="7"/>
  <c r="AY68" i="7"/>
  <c r="AY56" i="1"/>
  <c r="AY76" i="5"/>
  <c r="AY58" i="4"/>
  <c r="AY13" i="2"/>
  <c r="AY42" i="1"/>
  <c r="AY30" i="2"/>
  <c r="AY45" i="6"/>
  <c r="AY68" i="6" s="1"/>
  <c r="AY79" i="6" s="1"/>
  <c r="AY120" i="6"/>
  <c r="AY95" i="4"/>
  <c r="AY101" i="4" s="1"/>
  <c r="AY51" i="3"/>
  <c r="AY11" i="1"/>
  <c r="AY61" i="3"/>
  <c r="AY76" i="3" s="1"/>
  <c r="AY89" i="3" s="1"/>
  <c r="AY102" i="3"/>
  <c r="AY115" i="11"/>
  <c r="AY118" i="11" s="1"/>
  <c r="AY67" i="9"/>
  <c r="BC75" i="9" s="1"/>
  <c r="BC57" i="1" l="1"/>
  <c r="BC58" i="1"/>
  <c r="T122" i="15"/>
  <c r="X43" i="15"/>
  <c r="T121" i="15"/>
  <c r="X41" i="15"/>
  <c r="T117" i="15"/>
  <c r="X34" i="15"/>
  <c r="T119" i="15"/>
  <c r="X38" i="15"/>
  <c r="T72" i="15"/>
  <c r="X72" i="15"/>
  <c r="T116" i="15"/>
  <c r="X32" i="15"/>
  <c r="T118" i="15"/>
  <c r="X36" i="15"/>
  <c r="T49" i="15"/>
  <c r="X50" i="15" s="1"/>
  <c r="AR6" i="7"/>
  <c r="CK23" i="1"/>
  <c r="T108" i="15"/>
  <c r="T107" i="15"/>
  <c r="T106" i="15"/>
  <c r="T110" i="15"/>
  <c r="T109" i="15"/>
  <c r="T113" i="15"/>
  <c r="T105" i="15"/>
  <c r="T111" i="15"/>
  <c r="AZ59" i="1"/>
  <c r="T20" i="15"/>
  <c r="T26" i="15"/>
  <c r="U24" i="15"/>
  <c r="T78" i="15"/>
  <c r="T77" i="15"/>
  <c r="T79" i="15"/>
  <c r="T82" i="15"/>
  <c r="AY22" i="9"/>
  <c r="BC23" i="9" s="1"/>
  <c r="AZ79" i="9"/>
  <c r="T76" i="15"/>
  <c r="T63" i="15"/>
  <c r="T73" i="15"/>
  <c r="T81" i="15"/>
  <c r="T46" i="15"/>
  <c r="X47" i="15" s="1"/>
  <c r="T69" i="15"/>
  <c r="AN2" i="1"/>
  <c r="H3" i="15"/>
  <c r="AY29" i="8"/>
  <c r="BC37" i="8" s="1"/>
  <c r="AY24" i="8"/>
  <c r="BC32" i="8" s="1"/>
  <c r="AY25" i="8"/>
  <c r="BC33" i="8" s="1"/>
  <c r="AY26" i="8"/>
  <c r="BC34" i="8" s="1"/>
  <c r="AY27" i="8"/>
  <c r="BC35" i="8" s="1"/>
  <c r="AY28" i="8"/>
  <c r="BC36" i="8" s="1"/>
  <c r="AY157" i="11"/>
  <c r="X27" i="15" l="1"/>
  <c r="AS6" i="7"/>
  <c r="T51" i="15"/>
  <c r="X52" i="15" s="1"/>
  <c r="T112" i="15"/>
  <c r="AO2" i="1"/>
  <c r="I3" i="15"/>
  <c r="E167" i="11"/>
  <c r="E175" i="11"/>
  <c r="E176" i="11" s="1"/>
  <c r="AQ151" i="11"/>
  <c r="AR151" i="11"/>
  <c r="AS151" i="11"/>
  <c r="AT151" i="11"/>
  <c r="AU151" i="11"/>
  <c r="AV151" i="11"/>
  <c r="AW151" i="11"/>
  <c r="AX151" i="11"/>
  <c r="AP151" i="11"/>
  <c r="AS140" i="11"/>
  <c r="AR140" i="11"/>
  <c r="AQ140" i="11"/>
  <c r="AP140" i="11"/>
  <c r="AS139" i="11"/>
  <c r="AR139" i="11"/>
  <c r="AQ139" i="11"/>
  <c r="AP139" i="11"/>
  <c r="AS138" i="11"/>
  <c r="AR138" i="11"/>
  <c r="AQ138" i="11"/>
  <c r="AP138" i="11"/>
  <c r="AT6" i="7" l="1"/>
  <c r="AP2" i="1"/>
  <c r="J3" i="15"/>
  <c r="AW140" i="11"/>
  <c r="AV140" i="11"/>
  <c r="AU140" i="11"/>
  <c r="AW139" i="11"/>
  <c r="AV139" i="11"/>
  <c r="AU139" i="11"/>
  <c r="AW138" i="11"/>
  <c r="AV138" i="11"/>
  <c r="AU138" i="11"/>
  <c r="AU6" i="7" l="1"/>
  <c r="AQ2" i="1"/>
  <c r="K3" i="15"/>
  <c r="AP142" i="11"/>
  <c r="AQ142" i="11"/>
  <c r="AR142" i="11"/>
  <c r="AS142" i="11"/>
  <c r="AT142" i="11"/>
  <c r="AU142" i="11"/>
  <c r="AV142" i="11"/>
  <c r="AW142" i="11"/>
  <c r="AX142" i="11"/>
  <c r="AX141" i="11" s="1"/>
  <c r="BC143" i="11" l="1"/>
  <c r="AV6" i="7"/>
  <c r="BB143" i="11"/>
  <c r="BA143" i="11"/>
  <c r="AZ143" i="11"/>
  <c r="AR2" i="1"/>
  <c r="L3" i="15"/>
  <c r="AY143" i="11"/>
  <c r="AW141" i="11"/>
  <c r="AT141" i="11"/>
  <c r="AV141" i="11"/>
  <c r="AS141" i="11"/>
  <c r="AR141" i="11"/>
  <c r="AU141" i="11"/>
  <c r="AQ141" i="11"/>
  <c r="AP141" i="11"/>
  <c r="AX143" i="11"/>
  <c r="AQ143" i="11"/>
  <c r="AP143" i="11"/>
  <c r="AR143" i="11"/>
  <c r="AV143" i="11"/>
  <c r="AS143" i="11"/>
  <c r="AW143" i="11"/>
  <c r="AT143" i="11"/>
  <c r="AU143" i="11"/>
  <c r="AW6" i="7" l="1"/>
  <c r="AS2" i="1"/>
  <c r="M3" i="15"/>
  <c r="AP145" i="11"/>
  <c r="AP146" i="11" s="1"/>
  <c r="AQ145" i="11"/>
  <c r="AQ146" i="11" s="1"/>
  <c r="AR145" i="11"/>
  <c r="AR146" i="11" s="1"/>
  <c r="AS145" i="11"/>
  <c r="AS146" i="11" s="1"/>
  <c r="AT145" i="11"/>
  <c r="AT146" i="11" s="1"/>
  <c r="AU145" i="11"/>
  <c r="AU146" i="11" s="1"/>
  <c r="AV145" i="11"/>
  <c r="AV146" i="11" s="1"/>
  <c r="AW145" i="11"/>
  <c r="AW146" i="11" s="1"/>
  <c r="AX6" i="7" l="1"/>
  <c r="AT2" i="1"/>
  <c r="N3" i="15"/>
  <c r="AT147" i="11"/>
  <c r="AQ147" i="11"/>
  <c r="AP147" i="11"/>
  <c r="AU147" i="11"/>
  <c r="AR147" i="11"/>
  <c r="AS147" i="11"/>
  <c r="AV147" i="11"/>
  <c r="AW147" i="11"/>
  <c r="AY6" i="7" l="1"/>
  <c r="AU2" i="1"/>
  <c r="O3" i="15"/>
  <c r="AP150" i="11"/>
  <c r="AP153" i="11" s="1"/>
  <c r="AQ150" i="11"/>
  <c r="AQ153" i="11" s="1"/>
  <c r="AR150" i="11"/>
  <c r="AR153" i="11" s="1"/>
  <c r="AS150" i="11"/>
  <c r="AS153" i="11" s="1"/>
  <c r="AT150" i="11"/>
  <c r="AT153" i="11" s="1"/>
  <c r="AU150" i="11"/>
  <c r="AU153" i="11" s="1"/>
  <c r="AV150" i="11"/>
  <c r="AV153" i="11" s="1"/>
  <c r="AW150" i="11"/>
  <c r="AW153" i="11" s="1"/>
  <c r="AX150" i="11"/>
  <c r="AX153" i="11" s="1"/>
  <c r="BC154" i="11" l="1"/>
  <c r="AZ6" i="7"/>
  <c r="BB154" i="11"/>
  <c r="BA154" i="11"/>
  <c r="AZ154" i="11"/>
  <c r="AV2" i="1"/>
  <c r="P3" i="15"/>
  <c r="AY154" i="11"/>
  <c r="AV158" i="11"/>
  <c r="AV157" i="11"/>
  <c r="AQ158" i="11"/>
  <c r="AQ157" i="11"/>
  <c r="AP158" i="11"/>
  <c r="AT158" i="11"/>
  <c r="AT157" i="11"/>
  <c r="AS158" i="11"/>
  <c r="AR158" i="11"/>
  <c r="AR157" i="11"/>
  <c r="AX158" i="11"/>
  <c r="AX157" i="11"/>
  <c r="AW158" i="11"/>
  <c r="AW157" i="11"/>
  <c r="AU157" i="11"/>
  <c r="AU158" i="11"/>
  <c r="AS157" i="11"/>
  <c r="AW5" i="2"/>
  <c r="AV5" i="2"/>
  <c r="BA6" i="7" l="1"/>
  <c r="AW2" i="1"/>
  <c r="Q3" i="15"/>
  <c r="AP157" i="11"/>
  <c r="AQ154" i="11"/>
  <c r="AQ159" i="11" s="1"/>
  <c r="AP154" i="11"/>
  <c r="AP159" i="11" s="1"/>
  <c r="AW154" i="11"/>
  <c r="AW159" i="11" s="1"/>
  <c r="AR154" i="11"/>
  <c r="AR159" i="11" s="1"/>
  <c r="AU154" i="11"/>
  <c r="AU159" i="11" s="1"/>
  <c r="AX154" i="11"/>
  <c r="AS154" i="11"/>
  <c r="AS159" i="11" s="1"/>
  <c r="AV154" i="11"/>
  <c r="AV159" i="11" s="1"/>
  <c r="AT154" i="11"/>
  <c r="AT159" i="11" s="1"/>
  <c r="BB6" i="7" l="1"/>
  <c r="AX2" i="1"/>
  <c r="R3" i="15"/>
  <c r="S61" i="15"/>
  <c r="W62" i="15" s="1"/>
  <c r="S59" i="15"/>
  <c r="S54" i="15"/>
  <c r="S90" i="15"/>
  <c r="W91" i="15" s="1"/>
  <c r="S87" i="15"/>
  <c r="S67" i="15"/>
  <c r="W68" i="15" s="1"/>
  <c r="S44" i="15"/>
  <c r="AX97" i="5"/>
  <c r="AX95" i="5"/>
  <c r="AX89" i="5"/>
  <c r="AX88" i="5"/>
  <c r="AX87" i="5"/>
  <c r="AX80" i="5"/>
  <c r="AX78" i="5"/>
  <c r="AX73" i="5"/>
  <c r="AX72" i="5"/>
  <c r="AX69" i="5"/>
  <c r="AX91" i="5" s="1"/>
  <c r="BB96" i="5" s="1"/>
  <c r="AX7" i="5"/>
  <c r="AX1" i="5"/>
  <c r="AX51" i="5" s="1"/>
  <c r="AX76" i="5" s="1"/>
  <c r="AX102" i="4"/>
  <c r="AX96" i="4"/>
  <c r="BA97" i="4" s="1"/>
  <c r="AX92" i="4"/>
  <c r="AX91" i="4"/>
  <c r="AX90" i="4"/>
  <c r="AX89" i="4"/>
  <c r="AX88" i="4"/>
  <c r="AX84" i="4"/>
  <c r="AX83" i="4"/>
  <c r="AX81" i="4"/>
  <c r="AX80" i="4"/>
  <c r="AX74" i="4"/>
  <c r="AX72" i="4"/>
  <c r="AX67" i="4"/>
  <c r="AX66" i="4"/>
  <c r="AX62" i="4"/>
  <c r="BB64" i="4" s="1"/>
  <c r="AX60" i="4"/>
  <c r="AX56" i="4"/>
  <c r="AX52" i="4"/>
  <c r="AX51" i="4"/>
  <c r="AX49" i="4"/>
  <c r="AX46" i="4"/>
  <c r="BB47" i="4" s="1"/>
  <c r="AX45" i="4"/>
  <c r="AX43" i="4"/>
  <c r="AX39" i="4"/>
  <c r="AX38" i="4"/>
  <c r="AX37" i="4"/>
  <c r="AX36" i="4"/>
  <c r="AX35" i="4"/>
  <c r="AX34" i="4"/>
  <c r="AX33" i="4"/>
  <c r="AX32" i="4"/>
  <c r="AX31" i="4"/>
  <c r="AX30" i="4"/>
  <c r="AX1" i="4"/>
  <c r="AX41" i="4" s="1"/>
  <c r="AX54" i="4" s="1"/>
  <c r="AX69" i="4" s="1"/>
  <c r="AX66" i="7"/>
  <c r="AX65" i="7"/>
  <c r="AX49" i="7"/>
  <c r="AX46" i="7"/>
  <c r="AX1" i="7"/>
  <c r="AX43" i="7" s="1"/>
  <c r="AX84" i="7" s="1"/>
  <c r="AX132" i="3"/>
  <c r="BB133" i="3" s="1"/>
  <c r="AX126" i="3"/>
  <c r="AX124" i="3"/>
  <c r="AX122" i="3"/>
  <c r="AX121" i="3"/>
  <c r="AX119" i="3"/>
  <c r="AX100" i="3"/>
  <c r="AX98" i="3"/>
  <c r="AX97" i="3"/>
  <c r="AX94" i="3"/>
  <c r="AX93" i="3"/>
  <c r="AX91" i="3"/>
  <c r="AX87" i="3"/>
  <c r="AX85" i="3"/>
  <c r="AX84" i="3"/>
  <c r="AX81" i="3"/>
  <c r="BB82" i="3" s="1"/>
  <c r="AX80" i="3"/>
  <c r="AX78" i="3"/>
  <c r="AX73" i="3"/>
  <c r="AX71" i="3"/>
  <c r="AX70" i="3"/>
  <c r="AX67" i="3"/>
  <c r="BB68" i="3" s="1"/>
  <c r="AX66" i="3"/>
  <c r="AX64" i="3"/>
  <c r="AX1" i="3"/>
  <c r="AX116" i="3" s="1"/>
  <c r="AX28" i="2"/>
  <c r="AX27" i="2"/>
  <c r="AX24" i="2"/>
  <c r="AX21" i="2"/>
  <c r="BB22" i="2" s="1"/>
  <c r="AX19" i="2"/>
  <c r="AX18" i="2"/>
  <c r="AX16" i="2"/>
  <c r="AX15" i="2"/>
  <c r="AX1" i="2"/>
  <c r="AX131" i="6"/>
  <c r="AX122" i="6"/>
  <c r="AX121" i="6"/>
  <c r="AX108" i="6"/>
  <c r="AX102" i="6"/>
  <c r="AX100" i="6"/>
  <c r="AX99" i="6"/>
  <c r="AX94" i="6"/>
  <c r="AX86" i="6"/>
  <c r="AX84" i="6"/>
  <c r="AX82" i="6"/>
  <c r="AY103" i="6" s="1"/>
  <c r="AX81" i="6"/>
  <c r="AX80" i="6"/>
  <c r="AX75" i="6"/>
  <c r="AX73" i="6"/>
  <c r="AX70" i="6"/>
  <c r="AX69" i="6"/>
  <c r="AX66" i="6"/>
  <c r="AX65" i="6"/>
  <c r="AX35" i="6"/>
  <c r="AX17" i="6"/>
  <c r="AX18" i="6" s="1"/>
  <c r="BB48" i="6" s="1"/>
  <c r="AX14" i="6"/>
  <c r="AX12" i="6"/>
  <c r="BB67" i="6" s="1"/>
  <c r="AX6" i="6"/>
  <c r="AX1" i="6"/>
  <c r="AX130" i="6" s="1"/>
  <c r="AX48" i="8"/>
  <c r="AX47" i="8"/>
  <c r="AX45" i="8"/>
  <c r="AX44" i="8"/>
  <c r="AX43" i="8"/>
  <c r="AX42" i="8"/>
  <c r="AX41" i="8"/>
  <c r="AX40" i="8"/>
  <c r="AX1" i="8"/>
  <c r="AX20" i="8" s="1"/>
  <c r="AX64" i="1"/>
  <c r="AX62" i="1"/>
  <c r="AX61" i="1"/>
  <c r="AX47" i="1"/>
  <c r="BB67" i="1" s="1"/>
  <c r="AX36" i="1"/>
  <c r="CI36" i="1" s="1"/>
  <c r="AX35" i="1"/>
  <c r="CI35" i="1" s="1"/>
  <c r="AX34" i="1"/>
  <c r="CI34" i="1" s="1"/>
  <c r="AX33" i="1"/>
  <c r="CI33" i="1" s="1"/>
  <c r="AX32" i="1"/>
  <c r="CI32" i="1" s="1"/>
  <c r="AX31" i="1"/>
  <c r="CI31" i="1" s="1"/>
  <c r="AX30" i="1"/>
  <c r="AX22" i="1"/>
  <c r="AX21" i="1"/>
  <c r="AX20" i="1"/>
  <c r="AX19" i="1"/>
  <c r="AX18" i="1"/>
  <c r="AX17" i="1"/>
  <c r="AX16" i="1"/>
  <c r="AX13" i="1"/>
  <c r="AX10" i="1"/>
  <c r="AX9" i="1"/>
  <c r="AX8" i="1"/>
  <c r="AX7" i="1"/>
  <c r="AX6" i="1"/>
  <c r="AX5" i="1"/>
  <c r="AX4" i="1"/>
  <c r="AX1" i="1"/>
  <c r="AX134" i="11"/>
  <c r="AX131" i="11"/>
  <c r="AX127" i="11"/>
  <c r="AX126" i="11"/>
  <c r="AX124" i="11"/>
  <c r="AX123" i="11"/>
  <c r="AX113" i="11"/>
  <c r="AX111" i="11"/>
  <c r="AX110" i="11"/>
  <c r="AX109" i="11"/>
  <c r="AX108" i="11"/>
  <c r="AX106" i="11"/>
  <c r="AX99" i="11"/>
  <c r="AX87" i="11"/>
  <c r="AX1" i="11"/>
  <c r="AX80" i="11" s="1"/>
  <c r="AX103" i="11" s="1"/>
  <c r="AX121" i="11" s="1"/>
  <c r="AX1" i="10"/>
  <c r="AX27" i="9"/>
  <c r="AX86" i="9"/>
  <c r="AX84" i="9"/>
  <c r="AX83" i="9"/>
  <c r="AX81" i="9"/>
  <c r="AX54" i="9"/>
  <c r="AX52" i="9"/>
  <c r="AX51" i="9"/>
  <c r="AX48" i="9"/>
  <c r="AX18" i="9"/>
  <c r="AX7" i="9"/>
  <c r="BB59" i="9" s="1"/>
  <c r="AF16" i="15" a="1"/>
  <c r="AF40" i="15" a="1"/>
  <c r="AF31" i="15" a="1"/>
  <c r="AF54" i="15" a="1"/>
  <c r="AF35" i="15" a="1"/>
  <c r="AF33" i="15" a="1"/>
  <c r="AF59" i="15" a="1"/>
  <c r="AF57" i="15" a="1"/>
  <c r="AF44" i="15" a="1"/>
  <c r="AF87" i="15" a="1"/>
  <c r="AF13" i="15" a="1"/>
  <c r="AF61" i="15" a="1"/>
  <c r="AF67" i="15" a="1"/>
  <c r="AF11" i="15" a="1"/>
  <c r="AF7" i="15" a="1"/>
  <c r="AF37" i="15" a="1"/>
  <c r="AF66" i="15" a="1"/>
  <c r="AF22" i="15" a="1"/>
  <c r="AF9" i="15" a="1"/>
  <c r="AF18" i="15" a="1"/>
  <c r="AF90" i="15" a="1"/>
  <c r="AF42" i="15" a="1"/>
  <c r="BC6" i="7" l="1"/>
  <c r="CI30" i="1"/>
  <c r="BB53" i="1"/>
  <c r="W45" i="15"/>
  <c r="AX95" i="3"/>
  <c r="BB95" i="3"/>
  <c r="S123" i="15"/>
  <c r="AY49" i="6"/>
  <c r="CJ25" i="1"/>
  <c r="CJ19" i="1"/>
  <c r="CJ20" i="1"/>
  <c r="CJ21" i="1"/>
  <c r="CJ22" i="1"/>
  <c r="CJ16" i="1"/>
  <c r="CJ17" i="1"/>
  <c r="CJ18" i="1"/>
  <c r="S42" i="15"/>
  <c r="W43" i="15" s="1"/>
  <c r="S40" i="15"/>
  <c r="W41" i="15" s="1"/>
  <c r="S31" i="15"/>
  <c r="W32" i="15" s="1"/>
  <c r="S33" i="15"/>
  <c r="W34" i="15" s="1"/>
  <c r="S35" i="15"/>
  <c r="W36" i="15" s="1"/>
  <c r="S45" i="15"/>
  <c r="S71" i="15"/>
  <c r="W72" i="15" s="1"/>
  <c r="S37" i="15"/>
  <c r="W38" i="15" s="1"/>
  <c r="S62" i="15"/>
  <c r="S68" i="15"/>
  <c r="S91" i="15"/>
  <c r="T92" i="15"/>
  <c r="T88" i="15"/>
  <c r="AX30" i="2"/>
  <c r="S2" i="15"/>
  <c r="AY2" i="1"/>
  <c r="S3" i="15"/>
  <c r="S11" i="15"/>
  <c r="W12" i="15" s="1"/>
  <c r="S13" i="15"/>
  <c r="W14" i="15" s="1"/>
  <c r="S15" i="15"/>
  <c r="S16" i="15"/>
  <c r="W17" i="15" s="1"/>
  <c r="S18" i="15"/>
  <c r="W19" i="15" s="1"/>
  <c r="CI65" i="1"/>
  <c r="S66" i="15"/>
  <c r="S7" i="15"/>
  <c r="W8" i="15" s="1"/>
  <c r="AX64" i="9"/>
  <c r="BB72" i="9" s="1"/>
  <c r="AY60" i="9"/>
  <c r="AX65" i="1"/>
  <c r="AY54" i="1"/>
  <c r="AX145" i="11"/>
  <c r="AX133" i="11"/>
  <c r="AX44" i="1"/>
  <c r="AX5" i="8"/>
  <c r="AX27" i="8" s="1"/>
  <c r="BB35" i="8" s="1"/>
  <c r="AX118" i="3"/>
  <c r="AX50" i="1"/>
  <c r="AX13" i="2"/>
  <c r="AX58" i="4"/>
  <c r="S9" i="15"/>
  <c r="W10" i="15" s="1"/>
  <c r="AX43" i="1"/>
  <c r="AX56" i="1"/>
  <c r="S39" i="15"/>
  <c r="S120" i="15" s="1"/>
  <c r="AX71" i="4"/>
  <c r="S22" i="15"/>
  <c r="W23" i="15" s="1"/>
  <c r="AF54" i="15"/>
  <c r="AF22" i="15"/>
  <c r="AF31" i="15"/>
  <c r="AF57" i="15"/>
  <c r="AF7" i="15"/>
  <c r="AF61" i="15"/>
  <c r="AF11" i="15"/>
  <c r="AF37" i="15"/>
  <c r="AF66" i="15"/>
  <c r="AF13" i="15"/>
  <c r="AF40" i="15"/>
  <c r="AF67" i="15"/>
  <c r="AF33" i="15"/>
  <c r="AF9" i="15"/>
  <c r="AF16" i="15"/>
  <c r="AF42" i="15"/>
  <c r="AF87" i="15"/>
  <c r="AF59" i="15"/>
  <c r="AF35" i="15"/>
  <c r="AF18" i="15"/>
  <c r="AF44" i="15"/>
  <c r="AF90" i="15"/>
  <c r="AX86" i="5"/>
  <c r="AX70" i="5"/>
  <c r="BB74" i="5" s="1"/>
  <c r="AX46" i="1"/>
  <c r="AX79" i="4"/>
  <c r="AX23" i="1"/>
  <c r="AX45" i="1"/>
  <c r="AX95" i="4"/>
  <c r="AX101" i="4" s="1"/>
  <c r="AX63" i="7"/>
  <c r="AX68" i="7"/>
  <c r="AX79" i="7"/>
  <c r="AX11" i="1"/>
  <c r="AX51" i="3"/>
  <c r="AX61" i="3"/>
  <c r="AX76" i="3" s="1"/>
  <c r="AX89" i="3" s="1"/>
  <c r="AX102" i="3"/>
  <c r="AX37" i="1"/>
  <c r="CI37" i="1" s="1"/>
  <c r="AX107" i="6"/>
  <c r="AX45" i="6"/>
  <c r="AX68" i="6" s="1"/>
  <c r="AX79" i="6" s="1"/>
  <c r="AX120" i="6"/>
  <c r="AX42" i="1"/>
  <c r="AX115" i="11"/>
  <c r="AX118" i="11" s="1"/>
  <c r="AX68" i="9"/>
  <c r="BB76" i="9" s="1"/>
  <c r="AX65" i="9"/>
  <c r="BB73" i="9" s="1"/>
  <c r="AX21" i="9"/>
  <c r="BB78" i="9" s="1"/>
  <c r="AX87" i="9"/>
  <c r="AX66" i="9"/>
  <c r="BB74" i="9" s="1"/>
  <c r="AX67" i="9"/>
  <c r="BB75" i="9" s="1"/>
  <c r="AX63" i="9"/>
  <c r="BB71" i="9" s="1"/>
  <c r="AF49" i="15" l="1"/>
  <c r="S49" i="15"/>
  <c r="AF63" i="15"/>
  <c r="AF71" i="15"/>
  <c r="BB58" i="1"/>
  <c r="BB57" i="1"/>
  <c r="S117" i="15"/>
  <c r="S116" i="15"/>
  <c r="S121" i="15"/>
  <c r="S122" i="15"/>
  <c r="S119" i="15"/>
  <c r="S72" i="15"/>
  <c r="S118" i="15"/>
  <c r="AZ2" i="1"/>
  <c r="CJ23" i="1"/>
  <c r="S108" i="15"/>
  <c r="S107" i="15"/>
  <c r="S106" i="15"/>
  <c r="S113" i="15"/>
  <c r="S105" i="15"/>
  <c r="S109" i="15"/>
  <c r="S111" i="15"/>
  <c r="S110" i="15"/>
  <c r="AY59" i="1"/>
  <c r="AF26" i="15"/>
  <c r="T24" i="15"/>
  <c r="S20" i="15"/>
  <c r="S26" i="15"/>
  <c r="S82" i="15"/>
  <c r="S81" i="15"/>
  <c r="S77" i="15"/>
  <c r="S79" i="15"/>
  <c r="S76" i="15"/>
  <c r="Y76" i="15" s="1"/>
  <c r="S78" i="15"/>
  <c r="T3" i="15"/>
  <c r="S63" i="15"/>
  <c r="S73" i="15"/>
  <c r="AF69" i="15"/>
  <c r="S69" i="15"/>
  <c r="AX22" i="9"/>
  <c r="BB23" i="9" s="1"/>
  <c r="AY79" i="9"/>
  <c r="AX146" i="11"/>
  <c r="AX26" i="8"/>
  <c r="BB34" i="8" s="1"/>
  <c r="AX25" i="8"/>
  <c r="BB33" i="8" s="1"/>
  <c r="AX24" i="8"/>
  <c r="BB32" i="8" s="1"/>
  <c r="AX29" i="8"/>
  <c r="BB37" i="8" s="1"/>
  <c r="AX28" i="8"/>
  <c r="BB36" i="8" s="1"/>
  <c r="AF46" i="15"/>
  <c r="AF56" i="15"/>
  <c r="BX24" i="1"/>
  <c r="BX25" i="1"/>
  <c r="BB147" i="11" l="1"/>
  <c r="BB159" i="11" s="1"/>
  <c r="BC147" i="11"/>
  <c r="BC159" i="11" s="1"/>
  <c r="W27" i="15"/>
  <c r="S51" i="15"/>
  <c r="W50" i="15"/>
  <c r="U3" i="15"/>
  <c r="S112" i="15"/>
  <c r="BA2" i="1"/>
  <c r="AZ147" i="11"/>
  <c r="AZ159" i="11" s="1"/>
  <c r="BA147" i="11"/>
  <c r="BA159" i="11" s="1"/>
  <c r="AX147" i="11"/>
  <c r="AX159" i="11" s="1"/>
  <c r="AY147" i="11"/>
  <c r="AY159" i="11" s="1"/>
  <c r="AT52" i="9"/>
  <c r="AU52" i="9"/>
  <c r="AV52" i="9"/>
  <c r="AS52" i="9"/>
  <c r="AW52" i="9"/>
  <c r="W52" i="15" l="1"/>
  <c r="V3" i="15"/>
  <c r="BB2" i="1"/>
  <c r="CH12" i="1"/>
  <c r="AW132" i="3"/>
  <c r="BA133" i="3" s="1"/>
  <c r="W3" i="15" l="1"/>
  <c r="AL13" i="15" s="1"/>
  <c r="BC2" i="1"/>
  <c r="X3" i="15" s="1"/>
  <c r="AL59" i="15"/>
  <c r="AM59" i="15"/>
  <c r="AL37" i="15"/>
  <c r="AA7" i="15"/>
  <c r="AF8" i="15" s="1"/>
  <c r="AL57" i="15"/>
  <c r="AM35" i="15"/>
  <c r="AM44" i="15"/>
  <c r="AB15" i="15"/>
  <c r="AM61" i="15"/>
  <c r="AM37" i="15"/>
  <c r="AA59" i="15"/>
  <c r="AC56" i="15"/>
  <c r="AB31" i="15"/>
  <c r="AC31" i="15"/>
  <c r="AB44" i="15"/>
  <c r="AA33" i="15"/>
  <c r="AF34" i="15" s="1"/>
  <c r="AB33" i="15"/>
  <c r="AB57" i="15"/>
  <c r="AB40" i="15"/>
  <c r="AB37" i="15"/>
  <c r="AB66" i="15"/>
  <c r="AA37" i="15"/>
  <c r="AF38" i="15" s="1"/>
  <c r="AA35" i="15"/>
  <c r="AF36" i="15" s="1"/>
  <c r="AC61" i="15"/>
  <c r="AC37" i="15"/>
  <c r="AA2" i="15"/>
  <c r="AB90" i="15"/>
  <c r="AC42" i="15"/>
  <c r="AW43" i="4"/>
  <c r="R61" i="15"/>
  <c r="R57" i="15"/>
  <c r="R59" i="15"/>
  <c r="AW51" i="9"/>
  <c r="AW27" i="9"/>
  <c r="R54" i="15"/>
  <c r="R90" i="15"/>
  <c r="V91" i="15" s="1"/>
  <c r="R87" i="15"/>
  <c r="R67" i="15"/>
  <c r="R44" i="15"/>
  <c r="AC49" i="15" l="1"/>
  <c r="AA42" i="15"/>
  <c r="AF43" i="15" s="1"/>
  <c r="AB56" i="15"/>
  <c r="AB42" i="15"/>
  <c r="AA57" i="15"/>
  <c r="AA11" i="15"/>
  <c r="AF12" i="15" s="1"/>
  <c r="AC18" i="15"/>
  <c r="AG18" i="15" s="1"/>
  <c r="AB16" i="15"/>
  <c r="AE16" i="15" s="1"/>
  <c r="AC35" i="15"/>
  <c r="AC33" i="15"/>
  <c r="AA44" i="15"/>
  <c r="AB59" i="15"/>
  <c r="AB54" i="15"/>
  <c r="AC15" i="15"/>
  <c r="AM9" i="15"/>
  <c r="AL7" i="15"/>
  <c r="AC57" i="15"/>
  <c r="AA66" i="15"/>
  <c r="AA90" i="15"/>
  <c r="AF91" i="15" s="1"/>
  <c r="AB39" i="15"/>
  <c r="AC7" i="15"/>
  <c r="AG7" i="15" s="1"/>
  <c r="AA18" i="15"/>
  <c r="AF19" i="15" s="1"/>
  <c r="AA22" i="15"/>
  <c r="AA9" i="15"/>
  <c r="AF10" i="15" s="1"/>
  <c r="AB35" i="15"/>
  <c r="AC87" i="15"/>
  <c r="AG87" i="15" s="1"/>
  <c r="AL18" i="15"/>
  <c r="AM22" i="15"/>
  <c r="AM112" i="15" s="1"/>
  <c r="AB2" i="15"/>
  <c r="AA49" i="15"/>
  <c r="AD49" i="15" s="1"/>
  <c r="AA15" i="15"/>
  <c r="AC2" i="15"/>
  <c r="AM18" i="15"/>
  <c r="AC59" i="15"/>
  <c r="AC44" i="15"/>
  <c r="AC71" i="15" s="1"/>
  <c r="AC40" i="15"/>
  <c r="AA39" i="15"/>
  <c r="AC67" i="15"/>
  <c r="AB67" i="15"/>
  <c r="AC11" i="15"/>
  <c r="AD11" i="15" s="1"/>
  <c r="AC9" i="15"/>
  <c r="AC13" i="15"/>
  <c r="AG13" i="15" s="1"/>
  <c r="AM31" i="15"/>
  <c r="AB7" i="15"/>
  <c r="AL31" i="15"/>
  <c r="AL40" i="15"/>
  <c r="AL35" i="15"/>
  <c r="AB49" i="15"/>
  <c r="AE49" i="15" s="1"/>
  <c r="AM16" i="15"/>
  <c r="AM110" i="15" s="1"/>
  <c r="AC20" i="15"/>
  <c r="AM40" i="15"/>
  <c r="AL66" i="15"/>
  <c r="AL44" i="15"/>
  <c r="AL9" i="15"/>
  <c r="AM56" i="15"/>
  <c r="AM42" i="15"/>
  <c r="AM47" i="15" s="1"/>
  <c r="AL33" i="15"/>
  <c r="AA67" i="15"/>
  <c r="AC39" i="15"/>
  <c r="AE39" i="15" s="1"/>
  <c r="AB61" i="15"/>
  <c r="AC66" i="15"/>
  <c r="AG66" i="15" s="1"/>
  <c r="AB18" i="15"/>
  <c r="AE18" i="15" s="1"/>
  <c r="AB20" i="15"/>
  <c r="AM7" i="15"/>
  <c r="AM105" i="15" s="1"/>
  <c r="AL54" i="15"/>
  <c r="AA13" i="15"/>
  <c r="AF14" i="15" s="1"/>
  <c r="AL11" i="15"/>
  <c r="AC16" i="15"/>
  <c r="AG16" i="15" s="1"/>
  <c r="AL22" i="15"/>
  <c r="AC90" i="15"/>
  <c r="AG90" i="15" s="1"/>
  <c r="AC54" i="15"/>
  <c r="AH54" i="15" s="1"/>
  <c r="AM67" i="15"/>
  <c r="AM11" i="15"/>
  <c r="AM107" i="15" s="1"/>
  <c r="AM57" i="15"/>
  <c r="AM54" i="15"/>
  <c r="AB13" i="15"/>
  <c r="AM66" i="15"/>
  <c r="AA16" i="15"/>
  <c r="AF17" i="15" s="1"/>
  <c r="AB9" i="15"/>
  <c r="AM13" i="15"/>
  <c r="AM108" i="15" s="1"/>
  <c r="AB87" i="15"/>
  <c r="AA87" i="15"/>
  <c r="AF88" i="15" s="1"/>
  <c r="AA40" i="15"/>
  <c r="AH40" i="15" s="1"/>
  <c r="AA31" i="15"/>
  <c r="AF32" i="15" s="1"/>
  <c r="AA61" i="15"/>
  <c r="AH61" i="15" s="1"/>
  <c r="AA54" i="15"/>
  <c r="AL42" i="15"/>
  <c r="AA20" i="15"/>
  <c r="AD20" i="15" s="1"/>
  <c r="AL67" i="15"/>
  <c r="AB11" i="15"/>
  <c r="AB22" i="15"/>
  <c r="AM33" i="15"/>
  <c r="AL16" i="15"/>
  <c r="AC22" i="15"/>
  <c r="AD22" i="15" s="1"/>
  <c r="AL61" i="15"/>
  <c r="AM62" i="15" s="1"/>
  <c r="AD13" i="15"/>
  <c r="AM106" i="15"/>
  <c r="AD18" i="15"/>
  <c r="AM63" i="15"/>
  <c r="AM111" i="15"/>
  <c r="AM113" i="15"/>
  <c r="AM46" i="15"/>
  <c r="AG49" i="15"/>
  <c r="AH22" i="15"/>
  <c r="AH13" i="15"/>
  <c r="AF23" i="15"/>
  <c r="AM109" i="15"/>
  <c r="AA26" i="15"/>
  <c r="AF27" i="15" s="1"/>
  <c r="AE13" i="15"/>
  <c r="R123" i="15"/>
  <c r="AM26" i="15"/>
  <c r="AA69" i="15"/>
  <c r="AE20" i="15"/>
  <c r="AH7" i="15"/>
  <c r="AE7" i="15"/>
  <c r="AD54" i="15"/>
  <c r="AG54" i="15"/>
  <c r="AE35" i="15"/>
  <c r="AG35" i="15"/>
  <c r="AH35" i="15"/>
  <c r="AD35" i="15"/>
  <c r="AE61" i="15"/>
  <c r="AG61" i="15"/>
  <c r="AD66" i="15"/>
  <c r="AE59" i="15"/>
  <c r="AG59" i="15"/>
  <c r="AH59" i="15"/>
  <c r="AD59" i="15"/>
  <c r="AE37" i="15"/>
  <c r="AG37" i="15"/>
  <c r="AH37" i="15"/>
  <c r="AD37" i="15"/>
  <c r="AE40" i="15"/>
  <c r="AG40" i="15"/>
  <c r="AD40" i="15"/>
  <c r="AE42" i="15"/>
  <c r="AG42" i="15"/>
  <c r="AH42" i="15"/>
  <c r="AD42" i="15"/>
  <c r="AF41" i="15"/>
  <c r="AF62" i="15"/>
  <c r="AG44" i="15"/>
  <c r="AE31" i="15"/>
  <c r="AG31" i="15"/>
  <c r="AD31" i="15"/>
  <c r="AH31" i="15"/>
  <c r="AE33" i="15"/>
  <c r="AG33" i="15"/>
  <c r="AH33" i="15"/>
  <c r="AD33" i="15"/>
  <c r="AB71" i="15"/>
  <c r="AE57" i="15"/>
  <c r="AG57" i="15"/>
  <c r="AH57" i="15"/>
  <c r="AD57" i="15"/>
  <c r="AE56" i="15"/>
  <c r="AG56" i="15"/>
  <c r="V45" i="15"/>
  <c r="V62" i="15"/>
  <c r="V68" i="15"/>
  <c r="R45" i="15"/>
  <c r="R71" i="15"/>
  <c r="R62" i="15"/>
  <c r="R68" i="15"/>
  <c r="R88" i="15"/>
  <c r="S88" i="15"/>
  <c r="R92" i="15"/>
  <c r="R91" i="15"/>
  <c r="S92" i="15"/>
  <c r="S46" i="15"/>
  <c r="W47" i="15" s="1"/>
  <c r="S56" i="15"/>
  <c r="R56" i="15"/>
  <c r="AE67" i="15" l="1"/>
  <c r="AD15" i="15"/>
  <c r="AE54" i="15"/>
  <c r="AA71" i="15"/>
  <c r="AN67" i="15"/>
  <c r="AC69" i="15"/>
  <c r="AE44" i="15"/>
  <c r="AF45" i="15"/>
  <c r="AD9" i="15"/>
  <c r="AH18" i="15"/>
  <c r="AD39" i="15"/>
  <c r="AM69" i="15"/>
  <c r="AA63" i="15"/>
  <c r="AD67" i="15"/>
  <c r="AG67" i="15"/>
  <c r="AE15" i="15"/>
  <c r="AD44" i="15"/>
  <c r="AD61" i="15"/>
  <c r="AH44" i="15"/>
  <c r="AC63" i="15"/>
  <c r="AD16" i="15"/>
  <c r="AH16" i="15"/>
  <c r="AE9" i="15"/>
  <c r="AE66" i="15"/>
  <c r="AG22" i="15"/>
  <c r="AE22" i="15"/>
  <c r="AB69" i="15"/>
  <c r="AE11" i="15"/>
  <c r="AB26" i="15"/>
  <c r="AG9" i="15"/>
  <c r="AH9" i="15"/>
  <c r="AH11" i="15"/>
  <c r="AB63" i="15"/>
  <c r="AG11" i="15"/>
  <c r="AC26" i="15"/>
  <c r="AL56" i="15"/>
  <c r="AA56" i="15"/>
  <c r="AD56" i="15" s="1"/>
  <c r="R126" i="15"/>
  <c r="R128" i="15" s="1"/>
  <c r="S126" i="15"/>
  <c r="S128" i="15" s="1"/>
  <c r="V136" i="15" s="1"/>
  <c r="AM45" i="15"/>
  <c r="R72" i="15"/>
  <c r="V72" i="15"/>
  <c r="AW100" i="3"/>
  <c r="AS94" i="3"/>
  <c r="AV93" i="3"/>
  <c r="AU93" i="3"/>
  <c r="AW93" i="3"/>
  <c r="AW91" i="3"/>
  <c r="C51" i="3"/>
  <c r="D51" i="3"/>
  <c r="B51" i="3"/>
  <c r="AW15" i="2"/>
  <c r="AW33" i="2"/>
  <c r="F3" i="9"/>
  <c r="G3" i="9" s="1"/>
  <c r="H3" i="9" s="1"/>
  <c r="I3" i="9" s="1"/>
  <c r="J3" i="9" s="1"/>
  <c r="K3" i="9" s="1"/>
  <c r="L3" i="9" s="1"/>
  <c r="M3" i="9" s="1"/>
  <c r="N3" i="9" s="1"/>
  <c r="O3" i="9" s="1"/>
  <c r="P3" i="9" s="1"/>
  <c r="Q3" i="9" s="1"/>
  <c r="R3" i="9" s="1"/>
  <c r="S3" i="9" s="1"/>
  <c r="T3" i="9" s="1"/>
  <c r="U3" i="9" s="1"/>
  <c r="V3" i="9" s="1"/>
  <c r="W3" i="9" s="1"/>
  <c r="X3" i="9" s="1"/>
  <c r="Y3" i="9" s="1"/>
  <c r="Z3" i="9" s="1"/>
  <c r="AA3" i="9" s="1"/>
  <c r="AB3" i="9" s="1"/>
  <c r="AC3" i="9" s="1"/>
  <c r="AD3" i="9" s="1"/>
  <c r="AE3" i="9" s="1"/>
  <c r="AF3" i="9" s="1"/>
  <c r="AG3" i="9" s="1"/>
  <c r="AH3" i="9" s="1"/>
  <c r="AI3" i="9" s="1"/>
  <c r="AJ3" i="9" s="1"/>
  <c r="AK3" i="9" s="1"/>
  <c r="AL3" i="9" s="1"/>
  <c r="AM3" i="9" s="1"/>
  <c r="AN3" i="9" s="1"/>
  <c r="AO3" i="9" s="1"/>
  <c r="AP3" i="9" s="1"/>
  <c r="AQ3" i="9" s="1"/>
  <c r="AR3" i="9" s="1"/>
  <c r="AS3" i="9" s="1"/>
  <c r="AT3" i="9" s="1"/>
  <c r="AU3" i="9" s="1"/>
  <c r="AV3" i="9" s="1"/>
  <c r="AW3" i="9" s="1"/>
  <c r="AX3" i="9" s="1"/>
  <c r="AY3" i="9" s="1"/>
  <c r="AZ3" i="9" s="1"/>
  <c r="BA3" i="9" s="1"/>
  <c r="BB3" i="9" s="1"/>
  <c r="BC3" i="9" s="1"/>
  <c r="AW1" i="4"/>
  <c r="AW95" i="4" s="1"/>
  <c r="AW101" i="4" s="1"/>
  <c r="AW30" i="4"/>
  <c r="AW31" i="4"/>
  <c r="AW32" i="4"/>
  <c r="AW33" i="4"/>
  <c r="AW34" i="4"/>
  <c r="AW35" i="4"/>
  <c r="AW36" i="4"/>
  <c r="AW37" i="4"/>
  <c r="AW38" i="4"/>
  <c r="AW39" i="4"/>
  <c r="AW45" i="4"/>
  <c r="AW46" i="4"/>
  <c r="BA47" i="4" s="1"/>
  <c r="AW49" i="4"/>
  <c r="AW51" i="4"/>
  <c r="AW52" i="4"/>
  <c r="AW56" i="4"/>
  <c r="AW60" i="4"/>
  <c r="AW62" i="4"/>
  <c r="BA64" i="4" s="1"/>
  <c r="AW66" i="4"/>
  <c r="AW67" i="4"/>
  <c r="AW72" i="4"/>
  <c r="AW74" i="4"/>
  <c r="AW80" i="4"/>
  <c r="AW81" i="4"/>
  <c r="AW83" i="4"/>
  <c r="AW84" i="4"/>
  <c r="AW88" i="4"/>
  <c r="AW89" i="4"/>
  <c r="AW90" i="4"/>
  <c r="AW91" i="4"/>
  <c r="AW92" i="4"/>
  <c r="AW96" i="4"/>
  <c r="AZ97" i="4" s="1"/>
  <c r="AW102" i="4"/>
  <c r="AW1" i="7"/>
  <c r="AW43" i="7" s="1"/>
  <c r="AW66" i="7"/>
  <c r="AW46" i="7"/>
  <c r="AW49" i="7"/>
  <c r="AW1" i="3"/>
  <c r="AW61" i="3" s="1"/>
  <c r="AW76" i="3" s="1"/>
  <c r="AW89" i="3" s="1"/>
  <c r="AW64" i="3"/>
  <c r="AW66" i="3"/>
  <c r="AW67" i="3"/>
  <c r="BA68" i="3" s="1"/>
  <c r="AW70" i="3"/>
  <c r="AW71" i="3"/>
  <c r="AW73" i="3"/>
  <c r="AW78" i="3"/>
  <c r="AW80" i="3"/>
  <c r="AW81" i="3"/>
  <c r="BA82" i="3" s="1"/>
  <c r="AW84" i="3"/>
  <c r="AW85" i="3"/>
  <c r="AW87" i="3"/>
  <c r="AW94" i="3"/>
  <c r="AW97" i="3"/>
  <c r="AW98" i="3"/>
  <c r="AW119" i="3"/>
  <c r="AW121" i="3"/>
  <c r="AW122" i="3"/>
  <c r="AW124" i="3"/>
  <c r="AW126" i="3"/>
  <c r="AW1" i="2"/>
  <c r="AW16" i="2"/>
  <c r="AW18" i="2"/>
  <c r="AW19" i="2"/>
  <c r="AW21" i="2"/>
  <c r="BA22" i="2" s="1"/>
  <c r="AW24" i="2"/>
  <c r="AW27" i="2"/>
  <c r="AW28" i="2"/>
  <c r="AW1" i="6"/>
  <c r="AW130" i="6" s="1"/>
  <c r="AW6" i="6"/>
  <c r="AW12" i="6"/>
  <c r="AW14" i="6"/>
  <c r="AW17" i="6"/>
  <c r="AW18" i="6" s="1"/>
  <c r="AW35" i="6"/>
  <c r="AW65" i="6"/>
  <c r="AW66" i="6"/>
  <c r="AW69" i="6"/>
  <c r="AW70" i="6"/>
  <c r="AW73" i="6"/>
  <c r="AW75" i="6"/>
  <c r="AW80" i="6"/>
  <c r="AW81" i="6"/>
  <c r="AW82" i="6"/>
  <c r="AX103" i="6" s="1"/>
  <c r="AW84" i="6"/>
  <c r="AW86" i="6"/>
  <c r="AW94" i="6"/>
  <c r="AW99" i="6"/>
  <c r="AW100" i="6"/>
  <c r="AW102" i="6"/>
  <c r="AW108" i="6"/>
  <c r="AW121" i="6"/>
  <c r="AW122" i="6"/>
  <c r="AW131" i="6"/>
  <c r="AW1" i="8"/>
  <c r="AW20" i="8" s="1"/>
  <c r="AW40" i="8"/>
  <c r="AW41" i="8"/>
  <c r="AW42" i="8"/>
  <c r="AW43" i="8"/>
  <c r="AW44" i="8"/>
  <c r="AW45" i="8"/>
  <c r="AW47" i="8"/>
  <c r="AW48" i="8"/>
  <c r="AW1" i="1"/>
  <c r="AW4" i="1"/>
  <c r="AW5" i="1"/>
  <c r="AW6" i="1"/>
  <c r="AW7" i="1"/>
  <c r="AW8" i="1"/>
  <c r="AW9" i="1"/>
  <c r="AW10" i="1"/>
  <c r="AW13" i="1"/>
  <c r="AW16" i="1"/>
  <c r="AW17" i="1"/>
  <c r="AW18" i="1"/>
  <c r="AW19" i="1"/>
  <c r="AW20" i="1"/>
  <c r="AW21" i="1"/>
  <c r="AW22" i="1"/>
  <c r="AW30" i="1"/>
  <c r="AW31" i="1"/>
  <c r="AW32" i="1"/>
  <c r="AW33" i="1"/>
  <c r="AW34" i="1"/>
  <c r="AW35" i="1"/>
  <c r="AW36" i="1"/>
  <c r="AW47" i="1"/>
  <c r="BA67" i="1" s="1"/>
  <c r="AW61" i="1"/>
  <c r="AW62" i="1"/>
  <c r="AW64" i="1"/>
  <c r="AW1" i="11"/>
  <c r="AW80" i="11" s="1"/>
  <c r="AW103" i="11" s="1"/>
  <c r="AW121" i="11" s="1"/>
  <c r="AW87" i="11"/>
  <c r="AW99" i="11"/>
  <c r="AW106" i="11"/>
  <c r="AW108" i="11"/>
  <c r="AW109" i="11"/>
  <c r="AW110" i="11"/>
  <c r="AW111" i="11"/>
  <c r="AW113" i="11"/>
  <c r="AW123" i="11"/>
  <c r="AW124" i="11"/>
  <c r="AW126" i="11"/>
  <c r="AW127" i="11"/>
  <c r="AW131" i="11"/>
  <c r="AW134" i="11"/>
  <c r="AW1" i="10"/>
  <c r="AW7" i="9"/>
  <c r="BA59" i="9" s="1"/>
  <c r="AW18" i="9"/>
  <c r="AW48" i="9"/>
  <c r="AW54" i="9"/>
  <c r="AW81" i="9"/>
  <c r="AW83" i="9"/>
  <c r="AW84" i="9"/>
  <c r="AW86" i="9"/>
  <c r="AW1" i="5"/>
  <c r="AW51" i="5" s="1"/>
  <c r="AW7" i="5"/>
  <c r="AW69" i="5"/>
  <c r="AW91" i="5" s="1"/>
  <c r="BA96" i="5" s="1"/>
  <c r="AW72" i="5"/>
  <c r="AW73" i="5"/>
  <c r="AW78" i="5"/>
  <c r="AW80" i="5"/>
  <c r="AW87" i="5"/>
  <c r="AW88" i="5"/>
  <c r="AW89" i="5"/>
  <c r="AW95" i="5"/>
  <c r="AW97" i="5"/>
  <c r="AE26" i="15" l="1"/>
  <c r="AH26" i="15"/>
  <c r="AD26" i="15"/>
  <c r="AG26" i="15"/>
  <c r="BC3" i="10"/>
  <c r="BC2" i="11"/>
  <c r="BB3" i="10"/>
  <c r="BB2" i="11"/>
  <c r="U136" i="15"/>
  <c r="S136" i="15"/>
  <c r="R136" i="15"/>
  <c r="T136" i="15"/>
  <c r="CI17" i="1"/>
  <c r="CI16" i="1"/>
  <c r="CI22" i="1"/>
  <c r="CI18" i="1"/>
  <c r="CI21" i="1"/>
  <c r="CI20" i="1"/>
  <c r="CI19" i="1"/>
  <c r="BA53" i="1"/>
  <c r="CI25" i="1"/>
  <c r="BA3" i="10"/>
  <c r="BA2" i="11"/>
  <c r="AW95" i="3"/>
  <c r="BA95" i="3"/>
  <c r="AX49" i="6"/>
  <c r="BA48" i="6"/>
  <c r="AW67" i="6"/>
  <c r="BA67" i="6"/>
  <c r="AZ3" i="10"/>
  <c r="AZ2" i="11"/>
  <c r="AW50" i="1"/>
  <c r="R2" i="15"/>
  <c r="AY3" i="10"/>
  <c r="AY2" i="11"/>
  <c r="AW87" i="9"/>
  <c r="AX60" i="9"/>
  <c r="R35" i="15"/>
  <c r="R118" i="15" s="1"/>
  <c r="AX3" i="10"/>
  <c r="AX2" i="11"/>
  <c r="R31" i="15"/>
  <c r="R116" i="15" s="1"/>
  <c r="R39" i="15"/>
  <c r="R120" i="15" s="1"/>
  <c r="R66" i="15"/>
  <c r="AX54" i="1"/>
  <c r="R37" i="15"/>
  <c r="R119" i="15" s="1"/>
  <c r="R42" i="15"/>
  <c r="R33" i="15"/>
  <c r="R117" i="15" s="1"/>
  <c r="R40" i="15"/>
  <c r="R121" i="15" s="1"/>
  <c r="AW56" i="1"/>
  <c r="R9" i="15"/>
  <c r="R18" i="15"/>
  <c r="R7" i="15"/>
  <c r="AD7" i="15" s="1"/>
  <c r="R16" i="15"/>
  <c r="R15" i="15"/>
  <c r="R13" i="15"/>
  <c r="R11" i="15"/>
  <c r="AW118" i="3"/>
  <c r="R22" i="15"/>
  <c r="R113" i="15" s="1"/>
  <c r="AW44" i="1"/>
  <c r="AW120" i="6"/>
  <c r="AW45" i="1"/>
  <c r="AW42" i="1"/>
  <c r="AW30" i="2"/>
  <c r="AW70" i="5"/>
  <c r="BA74" i="5" s="1"/>
  <c r="AW107" i="6"/>
  <c r="AW45" i="6"/>
  <c r="AW68" i="6" s="1"/>
  <c r="AW79" i="6" s="1"/>
  <c r="AW13" i="2"/>
  <c r="AW79" i="4"/>
  <c r="AW51" i="3"/>
  <c r="AW43" i="1"/>
  <c r="AW5" i="8"/>
  <c r="AW27" i="8" s="1"/>
  <c r="BA35" i="8" s="1"/>
  <c r="AW133" i="11"/>
  <c r="AW58" i="4"/>
  <c r="AW65" i="1"/>
  <c r="AW71" i="4"/>
  <c r="AW11" i="1"/>
  <c r="AW3" i="10"/>
  <c r="AW2" i="11"/>
  <c r="AW68" i="7"/>
  <c r="AW79" i="7"/>
  <c r="AW84" i="7"/>
  <c r="AW63" i="7"/>
  <c r="AW116" i="3"/>
  <c r="AW102" i="3"/>
  <c r="AW41" i="4"/>
  <c r="AW54" i="4" s="1"/>
  <c r="AW69" i="4" s="1"/>
  <c r="AW23" i="1"/>
  <c r="AW37" i="1"/>
  <c r="AW86" i="5"/>
  <c r="AW76" i="5"/>
  <c r="AW66" i="9"/>
  <c r="BA74" i="9" s="1"/>
  <c r="AW115" i="11"/>
  <c r="AW118" i="11" s="1"/>
  <c r="AW68" i="9"/>
  <c r="BA76" i="9" s="1"/>
  <c r="AW65" i="9"/>
  <c r="BA73" i="9" s="1"/>
  <c r="AW46" i="1"/>
  <c r="AW67" i="9"/>
  <c r="BA75" i="9" s="1"/>
  <c r="AW64" i="9"/>
  <c r="BA72" i="9" s="1"/>
  <c r="AW21" i="9"/>
  <c r="BA78" i="9" s="1"/>
  <c r="AW63" i="9"/>
  <c r="BA71" i="9" s="1"/>
  <c r="R122" i="15" l="1"/>
  <c r="R49" i="15"/>
  <c r="R107" i="15"/>
  <c r="R108" i="15"/>
  <c r="R109" i="15"/>
  <c r="R110" i="15"/>
  <c r="CI23" i="1"/>
  <c r="R105" i="15"/>
  <c r="R111" i="15"/>
  <c r="R106" i="15"/>
  <c r="BA57" i="1"/>
  <c r="V19" i="15"/>
  <c r="V8" i="15"/>
  <c r="V10" i="15"/>
  <c r="V32" i="15"/>
  <c r="V12" i="15"/>
  <c r="V41" i="15"/>
  <c r="V17" i="15"/>
  <c r="V14" i="15"/>
  <c r="V34" i="15"/>
  <c r="V38" i="15"/>
  <c r="V23" i="15"/>
  <c r="V43" i="15"/>
  <c r="V36" i="15"/>
  <c r="AX59" i="1"/>
  <c r="BA58" i="1"/>
  <c r="R26" i="15"/>
  <c r="R20" i="15"/>
  <c r="R77" i="15"/>
  <c r="R82" i="15"/>
  <c r="R63" i="15"/>
  <c r="R73" i="15"/>
  <c r="R78" i="15"/>
  <c r="R79" i="15"/>
  <c r="R76" i="15"/>
  <c r="R81" i="15"/>
  <c r="R69" i="15"/>
  <c r="AW22" i="9"/>
  <c r="BA23" i="9" s="1"/>
  <c r="AX79" i="9"/>
  <c r="R46" i="15"/>
  <c r="V47" i="15" s="1"/>
  <c r="AW26" i="8"/>
  <c r="BA34" i="8" s="1"/>
  <c r="AW29" i="8"/>
  <c r="BA37" i="8" s="1"/>
  <c r="AW28" i="8"/>
  <c r="BA36" i="8" s="1"/>
  <c r="AW25" i="8"/>
  <c r="BA33" i="8" s="1"/>
  <c r="AW24" i="8"/>
  <c r="BA32" i="8" s="1"/>
  <c r="R51" i="15" l="1"/>
  <c r="V50" i="15"/>
  <c r="R112" i="15"/>
  <c r="V27" i="15"/>
  <c r="AV19" i="2"/>
  <c r="AV18" i="2"/>
  <c r="AV16" i="2"/>
  <c r="AV15" i="2"/>
  <c r="AV33" i="2"/>
  <c r="D30" i="2"/>
  <c r="C30" i="2"/>
  <c r="B30" i="2"/>
  <c r="V52" i="15" l="1"/>
  <c r="AV27" i="9"/>
  <c r="AV30" i="1"/>
  <c r="AV31" i="1"/>
  <c r="AV32" i="1"/>
  <c r="AV33" i="1"/>
  <c r="AV34" i="1"/>
  <c r="AV35" i="1"/>
  <c r="AV36" i="1"/>
  <c r="AV4" i="1"/>
  <c r="AV5" i="1"/>
  <c r="AV6" i="1"/>
  <c r="AV7" i="1"/>
  <c r="AV8" i="1"/>
  <c r="AV9" i="1"/>
  <c r="AV10" i="1"/>
  <c r="AV13" i="1"/>
  <c r="AV16" i="1"/>
  <c r="AV17" i="1"/>
  <c r="AV18" i="1"/>
  <c r="AV19" i="1"/>
  <c r="AV20" i="1"/>
  <c r="AV21" i="1"/>
  <c r="AV22" i="1"/>
  <c r="AV17" i="6"/>
  <c r="AZ53" i="1" l="1"/>
  <c r="Q18" i="15"/>
  <c r="Q42" i="15"/>
  <c r="Q16" i="15"/>
  <c r="Q15" i="15"/>
  <c r="Q35" i="15"/>
  <c r="Q118" i="15" s="1"/>
  <c r="Q11" i="15"/>
  <c r="Q33" i="15"/>
  <c r="Q117" i="15" s="1"/>
  <c r="Q9" i="15"/>
  <c r="Q66" i="15"/>
  <c r="Q40" i="15"/>
  <c r="Q121" i="15" s="1"/>
  <c r="Q39" i="15"/>
  <c r="Q120" i="15" s="1"/>
  <c r="Q37" i="15"/>
  <c r="Q13" i="15"/>
  <c r="Q31" i="15"/>
  <c r="Q116" i="15" s="1"/>
  <c r="Q7" i="15"/>
  <c r="Q22" i="15"/>
  <c r="Q113" i="15" s="1"/>
  <c r="AW54" i="1"/>
  <c r="AV46" i="1"/>
  <c r="AV44" i="1"/>
  <c r="AV45" i="1"/>
  <c r="AV42" i="1"/>
  <c r="AV23" i="1"/>
  <c r="AV37" i="1"/>
  <c r="AV43" i="1"/>
  <c r="AV5" i="8"/>
  <c r="AV11" i="1"/>
  <c r="AV106" i="11"/>
  <c r="AV108" i="11"/>
  <c r="AV109" i="11"/>
  <c r="AV110" i="11"/>
  <c r="AV111" i="11"/>
  <c r="AV113" i="11"/>
  <c r="AV123" i="11"/>
  <c r="AV124" i="11"/>
  <c r="AV126" i="11"/>
  <c r="AV127" i="11"/>
  <c r="AV134" i="11"/>
  <c r="Q122" i="15" l="1"/>
  <c r="Q49" i="15"/>
  <c r="Q106" i="15"/>
  <c r="Q105" i="15"/>
  <c r="Q107" i="15"/>
  <c r="Q109" i="15"/>
  <c r="Q108" i="15"/>
  <c r="U38" i="15"/>
  <c r="Q119" i="15"/>
  <c r="Q110" i="15"/>
  <c r="Q111" i="15"/>
  <c r="Q26" i="15"/>
  <c r="Q20" i="15"/>
  <c r="U34" i="15"/>
  <c r="U32" i="15"/>
  <c r="U10" i="15"/>
  <c r="U36" i="15"/>
  <c r="U8" i="15"/>
  <c r="U14" i="15"/>
  <c r="U17" i="15"/>
  <c r="Q73" i="15"/>
  <c r="U23" i="15"/>
  <c r="U41" i="15"/>
  <c r="U43" i="15"/>
  <c r="U12" i="15"/>
  <c r="U19" i="15"/>
  <c r="Q79" i="15"/>
  <c r="Q82" i="15"/>
  <c r="Q77" i="15"/>
  <c r="Q76" i="15"/>
  <c r="Q81" i="15"/>
  <c r="Q46" i="15"/>
  <c r="U47" i="15" s="1"/>
  <c r="Q78" i="15"/>
  <c r="Q69" i="15"/>
  <c r="Q63" i="15"/>
  <c r="AV115" i="11"/>
  <c r="AV118" i="11" s="1"/>
  <c r="Q51" i="15" l="1"/>
  <c r="U52" i="15" s="1"/>
  <c r="U50" i="15"/>
  <c r="Q112" i="15"/>
  <c r="U27" i="15"/>
  <c r="AV1" i="5"/>
  <c r="AV51" i="5" s="1"/>
  <c r="AV76" i="5" s="1"/>
  <c r="AV7" i="5"/>
  <c r="AV69" i="5"/>
  <c r="AV70" i="5" s="1"/>
  <c r="AZ74" i="5" s="1"/>
  <c r="AV72" i="5"/>
  <c r="AV73" i="5"/>
  <c r="AV78" i="5"/>
  <c r="AV80" i="5"/>
  <c r="AV87" i="5"/>
  <c r="AV88" i="5"/>
  <c r="AV89" i="5"/>
  <c r="AV95" i="5"/>
  <c r="AV97" i="5"/>
  <c r="AV1" i="4"/>
  <c r="AV95" i="4" s="1"/>
  <c r="AV101" i="4" s="1"/>
  <c r="AV30" i="4"/>
  <c r="AV31" i="4"/>
  <c r="AV32" i="4"/>
  <c r="AV33" i="4"/>
  <c r="AV34" i="4"/>
  <c r="AV35" i="4"/>
  <c r="AV36" i="4"/>
  <c r="AV37" i="4"/>
  <c r="AV38" i="4"/>
  <c r="AV39" i="4"/>
  <c r="AV43" i="4"/>
  <c r="AV45" i="4"/>
  <c r="AV46" i="4"/>
  <c r="AZ47" i="4" s="1"/>
  <c r="AV49" i="4"/>
  <c r="AV51" i="4"/>
  <c r="AV52" i="4"/>
  <c r="AV56" i="4"/>
  <c r="AV58" i="4"/>
  <c r="AV60" i="4"/>
  <c r="AV62" i="4"/>
  <c r="AZ64" i="4" s="1"/>
  <c r="AV66" i="4"/>
  <c r="AV67" i="4"/>
  <c r="AV71" i="4"/>
  <c r="AV72" i="4"/>
  <c r="AV74" i="4"/>
  <c r="AV80" i="4"/>
  <c r="AV81" i="4"/>
  <c r="AV83" i="4"/>
  <c r="AV84" i="4"/>
  <c r="AV88" i="4"/>
  <c r="AV89" i="4"/>
  <c r="AV90" i="4"/>
  <c r="AV91" i="4"/>
  <c r="AV92" i="4"/>
  <c r="AV96" i="4"/>
  <c r="AY97" i="4" s="1"/>
  <c r="AV102" i="4"/>
  <c r="AV1" i="7"/>
  <c r="AV43" i="7" s="1"/>
  <c r="AV66" i="7"/>
  <c r="AV46" i="7"/>
  <c r="AV49" i="7"/>
  <c r="AV1" i="3"/>
  <c r="AV64" i="3"/>
  <c r="AV66" i="3"/>
  <c r="AV67" i="3"/>
  <c r="AZ68" i="3" s="1"/>
  <c r="AV70" i="3"/>
  <c r="AV71" i="3"/>
  <c r="AV73" i="3"/>
  <c r="AV78" i="3"/>
  <c r="AV80" i="3"/>
  <c r="AV81" i="3"/>
  <c r="AZ82" i="3" s="1"/>
  <c r="AV84" i="3"/>
  <c r="AV85" i="3"/>
  <c r="AV87" i="3"/>
  <c r="AV91" i="3"/>
  <c r="AV94" i="3"/>
  <c r="AZ95" i="3" s="1"/>
  <c r="AV97" i="3"/>
  <c r="AV98" i="3"/>
  <c r="AV100" i="3"/>
  <c r="AV118" i="3"/>
  <c r="AV119" i="3"/>
  <c r="AV121" i="3"/>
  <c r="AV122" i="3"/>
  <c r="AV124" i="3"/>
  <c r="AV126" i="3"/>
  <c r="AV132" i="3"/>
  <c r="AZ133" i="3" s="1"/>
  <c r="AV1" i="2"/>
  <c r="AV21" i="2"/>
  <c r="AZ22" i="2" s="1"/>
  <c r="AV24" i="2"/>
  <c r="AV27" i="2"/>
  <c r="AV28" i="2"/>
  <c r="AV1" i="6"/>
  <c r="AV130" i="6" s="1"/>
  <c r="AV6" i="6"/>
  <c r="AV12" i="6"/>
  <c r="AV14" i="6"/>
  <c r="AV18" i="6"/>
  <c r="AV35" i="6"/>
  <c r="AV65" i="6"/>
  <c r="AV66" i="6"/>
  <c r="AV69" i="6"/>
  <c r="AV70" i="6"/>
  <c r="AV73" i="6"/>
  <c r="AV75" i="6"/>
  <c r="AV80" i="6"/>
  <c r="AV81" i="6"/>
  <c r="AV82" i="6"/>
  <c r="AW103" i="6" s="1"/>
  <c r="AV84" i="6"/>
  <c r="AV86" i="6"/>
  <c r="AV94" i="6"/>
  <c r="AV99" i="6"/>
  <c r="AV100" i="6"/>
  <c r="AV102" i="6"/>
  <c r="AV108" i="6"/>
  <c r="AV121" i="6"/>
  <c r="AV122" i="6"/>
  <c r="AV131" i="6"/>
  <c r="AV1" i="8"/>
  <c r="AV20" i="8" s="1"/>
  <c r="AV40" i="8"/>
  <c r="AV41" i="8"/>
  <c r="AV42" i="8"/>
  <c r="AV43" i="8"/>
  <c r="AV44" i="8"/>
  <c r="AV45" i="8"/>
  <c r="AV47" i="8"/>
  <c r="AV48" i="8"/>
  <c r="AV1" i="1"/>
  <c r="AV56" i="1"/>
  <c r="AV47" i="1"/>
  <c r="AZ67" i="1" s="1"/>
  <c r="AV61" i="1"/>
  <c r="AV62" i="1"/>
  <c r="AV64" i="1"/>
  <c r="AV1" i="11"/>
  <c r="AV80" i="11" s="1"/>
  <c r="AV103" i="11" s="1"/>
  <c r="AV121" i="11" s="1"/>
  <c r="AV2" i="11"/>
  <c r="AV87" i="11"/>
  <c r="AV133" i="11" s="1"/>
  <c r="AV99" i="11"/>
  <c r="AV1" i="10"/>
  <c r="AV3" i="10"/>
  <c r="AV7" i="9"/>
  <c r="AV18" i="9"/>
  <c r="AV48" i="9"/>
  <c r="AV51" i="9"/>
  <c r="AV54" i="9"/>
  <c r="AV81" i="9"/>
  <c r="AV83" i="9"/>
  <c r="AV84" i="9"/>
  <c r="AV86" i="9"/>
  <c r="AT14" i="6"/>
  <c r="AT12" i="6"/>
  <c r="AX67" i="6" s="1"/>
  <c r="AU12" i="6"/>
  <c r="AY67" i="6" s="1"/>
  <c r="AU124" i="11"/>
  <c r="AU39" i="4"/>
  <c r="AU38" i="4"/>
  <c r="AU37" i="4"/>
  <c r="AU36" i="4"/>
  <c r="AU35" i="4"/>
  <c r="AU34" i="4"/>
  <c r="AU33" i="4"/>
  <c r="AU32" i="4"/>
  <c r="AU31" i="4"/>
  <c r="AU30" i="4"/>
  <c r="AU14" i="6"/>
  <c r="AU48" i="9"/>
  <c r="AZ57" i="1" l="1"/>
  <c r="AW49" i="6"/>
  <c r="AZ48" i="6"/>
  <c r="AW59" i="1"/>
  <c r="AZ58" i="1"/>
  <c r="AV67" i="6"/>
  <c r="AZ67" i="6"/>
  <c r="AW60" i="9"/>
  <c r="AZ59" i="9"/>
  <c r="Q2" i="15"/>
  <c r="AV61" i="3"/>
  <c r="AV76" i="3" s="1"/>
  <c r="AV89" i="3" s="1"/>
  <c r="AV51" i="3"/>
  <c r="AV13" i="2"/>
  <c r="AV30" i="2"/>
  <c r="AV63" i="9"/>
  <c r="AZ71" i="9" s="1"/>
  <c r="AV107" i="6"/>
  <c r="AV41" i="4"/>
  <c r="AV54" i="4" s="1"/>
  <c r="AV69" i="4" s="1"/>
  <c r="AV86" i="5"/>
  <c r="AV50" i="1"/>
  <c r="AV65" i="1"/>
  <c r="AV91" i="5"/>
  <c r="AZ96" i="5" s="1"/>
  <c r="AV79" i="4"/>
  <c r="AV84" i="7"/>
  <c r="AV68" i="7"/>
  <c r="AV63" i="7"/>
  <c r="AV79" i="7"/>
  <c r="AV116" i="3"/>
  <c r="AV102" i="3"/>
  <c r="AV24" i="8"/>
  <c r="AZ32" i="8" s="1"/>
  <c r="AV25" i="8"/>
  <c r="AZ33" i="8" s="1"/>
  <c r="AV29" i="8"/>
  <c r="AZ37" i="8" s="1"/>
  <c r="AV28" i="8"/>
  <c r="AZ36" i="8" s="1"/>
  <c r="AV26" i="8"/>
  <c r="AZ34" i="8" s="1"/>
  <c r="AV120" i="6"/>
  <c r="AV45" i="6"/>
  <c r="AV68" i="6" s="1"/>
  <c r="AV79" i="6" s="1"/>
  <c r="AV27" i="8"/>
  <c r="AZ35" i="8" s="1"/>
  <c r="AV68" i="9"/>
  <c r="AZ76" i="9" s="1"/>
  <c r="AV66" i="9"/>
  <c r="AZ74" i="9" s="1"/>
  <c r="AV67" i="9"/>
  <c r="AZ75" i="9" s="1"/>
  <c r="AV87" i="9"/>
  <c r="AV65" i="9"/>
  <c r="AZ73" i="9" s="1"/>
  <c r="AV64" i="9"/>
  <c r="AZ72" i="9" s="1"/>
  <c r="AV21" i="9"/>
  <c r="AZ78" i="9" s="1"/>
  <c r="AU97" i="5"/>
  <c r="AU95" i="5"/>
  <c r="AU89" i="5"/>
  <c r="AU88" i="5"/>
  <c r="AU87" i="5"/>
  <c r="AU80" i="5"/>
  <c r="AU78" i="5"/>
  <c r="AU73" i="5"/>
  <c r="AU72" i="5"/>
  <c r="AU69" i="5"/>
  <c r="AU91" i="5" s="1"/>
  <c r="AY96" i="5" s="1"/>
  <c r="AU7" i="5"/>
  <c r="AU1" i="5"/>
  <c r="AU51" i="5" s="1"/>
  <c r="AU102" i="4"/>
  <c r="AU96" i="4"/>
  <c r="AX97" i="4" s="1"/>
  <c r="AU92" i="4"/>
  <c r="AU91" i="4"/>
  <c r="AU90" i="4"/>
  <c r="AU89" i="4"/>
  <c r="AU88" i="4"/>
  <c r="AU84" i="4"/>
  <c r="AU83" i="4"/>
  <c r="AU81" i="4"/>
  <c r="AU80" i="4"/>
  <c r="AU74" i="4"/>
  <c r="AU72" i="4"/>
  <c r="AU67" i="4"/>
  <c r="AU66" i="4"/>
  <c r="AU62" i="4"/>
  <c r="AY64" i="4" s="1"/>
  <c r="AU60" i="4"/>
  <c r="AU56" i="4"/>
  <c r="AU52" i="4"/>
  <c r="AU51" i="4"/>
  <c r="AU49" i="4"/>
  <c r="AU46" i="4"/>
  <c r="AY47" i="4" s="1"/>
  <c r="AU45" i="4"/>
  <c r="AU43" i="4"/>
  <c r="AU1" i="4"/>
  <c r="AU41" i="4" s="1"/>
  <c r="AU54" i="4" s="1"/>
  <c r="AU69" i="4" s="1"/>
  <c r="AU66" i="7"/>
  <c r="AU65" i="7"/>
  <c r="AU49" i="7"/>
  <c r="AU46" i="7"/>
  <c r="AU1" i="7"/>
  <c r="AU43" i="7" s="1"/>
  <c r="AU132" i="3"/>
  <c r="AY133" i="3" s="1"/>
  <c r="AU126" i="3"/>
  <c r="AU124" i="3"/>
  <c r="AU122" i="3"/>
  <c r="AU121" i="3"/>
  <c r="AU119" i="3"/>
  <c r="AU100" i="3"/>
  <c r="AU98" i="3"/>
  <c r="AU97" i="3"/>
  <c r="AU94" i="3"/>
  <c r="AY95" i="3" s="1"/>
  <c r="AU91" i="3"/>
  <c r="AU87" i="3"/>
  <c r="AU85" i="3"/>
  <c r="AU84" i="3"/>
  <c r="AU81" i="3"/>
  <c r="AY82" i="3" s="1"/>
  <c r="AU80" i="3"/>
  <c r="AU78" i="3"/>
  <c r="AU73" i="3"/>
  <c r="AU71" i="3"/>
  <c r="AU70" i="3"/>
  <c r="AU67" i="3"/>
  <c r="AY68" i="3" s="1"/>
  <c r="AU66" i="3"/>
  <c r="AU64" i="3"/>
  <c r="AU1" i="3"/>
  <c r="AU28" i="2"/>
  <c r="AU27" i="2"/>
  <c r="AU24" i="2"/>
  <c r="AU21" i="2"/>
  <c r="AY22" i="2" s="1"/>
  <c r="AU19" i="2"/>
  <c r="AU18" i="2"/>
  <c r="AU16" i="2"/>
  <c r="AU15" i="2"/>
  <c r="AU1" i="2"/>
  <c r="AU131" i="6"/>
  <c r="AU122" i="6"/>
  <c r="AU121" i="6"/>
  <c r="AU108" i="6"/>
  <c r="AU102" i="6"/>
  <c r="AU100" i="6"/>
  <c r="AU99" i="6"/>
  <c r="AU94" i="6"/>
  <c r="AU86" i="6"/>
  <c r="AU84" i="6"/>
  <c r="AU82" i="6"/>
  <c r="AV103" i="6" s="1"/>
  <c r="AU81" i="6"/>
  <c r="AU80" i="6"/>
  <c r="AU75" i="6"/>
  <c r="AU73" i="6"/>
  <c r="AU70" i="6"/>
  <c r="AU69" i="6"/>
  <c r="AU67" i="6"/>
  <c r="AU66" i="6"/>
  <c r="AU65" i="6"/>
  <c r="AU35" i="6"/>
  <c r="AU17" i="6"/>
  <c r="AU18" i="6" s="1"/>
  <c r="AU6" i="6"/>
  <c r="AU1" i="6"/>
  <c r="AU130" i="6" s="1"/>
  <c r="AU48" i="8"/>
  <c r="AU47" i="8"/>
  <c r="AU45" i="8"/>
  <c r="AU44" i="8"/>
  <c r="AU43" i="8"/>
  <c r="AU42" i="8"/>
  <c r="AU41" i="8"/>
  <c r="AU40" i="8"/>
  <c r="AU1" i="8"/>
  <c r="AU20" i="8" s="1"/>
  <c r="AU64" i="1"/>
  <c r="AU62" i="1"/>
  <c r="AU61" i="1"/>
  <c r="AU47" i="1"/>
  <c r="AY67" i="1" s="1"/>
  <c r="AU36" i="1"/>
  <c r="AU35" i="1"/>
  <c r="AU34" i="1"/>
  <c r="AU33" i="1"/>
  <c r="AU32" i="1"/>
  <c r="AU31" i="1"/>
  <c r="AU30" i="1"/>
  <c r="AU22" i="1"/>
  <c r="AU21" i="1"/>
  <c r="AU20" i="1"/>
  <c r="AU19" i="1"/>
  <c r="AU18" i="1"/>
  <c r="AU17" i="1"/>
  <c r="AU16" i="1"/>
  <c r="AU13" i="1"/>
  <c r="AU10" i="1"/>
  <c r="AU9" i="1"/>
  <c r="AU8" i="1"/>
  <c r="AU7" i="1"/>
  <c r="AU6" i="1"/>
  <c r="AU5" i="1"/>
  <c r="AU4" i="1"/>
  <c r="AU1" i="1"/>
  <c r="AU134" i="11"/>
  <c r="AU127" i="11"/>
  <c r="AU126" i="11"/>
  <c r="AU123" i="11"/>
  <c r="AU113" i="11"/>
  <c r="AU111" i="11"/>
  <c r="AU110" i="11"/>
  <c r="AU109" i="11"/>
  <c r="AU108" i="11"/>
  <c r="AU106" i="11"/>
  <c r="AU99" i="11"/>
  <c r="AU87" i="11"/>
  <c r="AU2" i="11"/>
  <c r="AU1" i="11"/>
  <c r="AU80" i="11" s="1"/>
  <c r="AU103" i="11" s="1"/>
  <c r="AU121" i="11" s="1"/>
  <c r="AU3" i="10"/>
  <c r="AU1" i="10"/>
  <c r="AU86" i="9"/>
  <c r="AU84" i="9"/>
  <c r="AU83" i="9"/>
  <c r="AU81" i="9"/>
  <c r="AU54" i="9"/>
  <c r="AU51" i="9"/>
  <c r="AU27" i="9"/>
  <c r="AU18" i="9"/>
  <c r="AU7" i="9"/>
  <c r="AY59" i="9" s="1"/>
  <c r="B130" i="6"/>
  <c r="C130" i="6"/>
  <c r="D130" i="6"/>
  <c r="B131" i="6"/>
  <c r="C131" i="6"/>
  <c r="D131" i="6"/>
  <c r="E131" i="6"/>
  <c r="F131" i="6"/>
  <c r="G131" i="6"/>
  <c r="H131" i="6"/>
  <c r="I131" i="6"/>
  <c r="J131" i="6"/>
  <c r="K131" i="6"/>
  <c r="L131" i="6"/>
  <c r="M131" i="6"/>
  <c r="N131" i="6"/>
  <c r="O131" i="6"/>
  <c r="P131" i="6"/>
  <c r="Q131" i="6"/>
  <c r="R131" i="6"/>
  <c r="S131" i="6"/>
  <c r="T131" i="6"/>
  <c r="U131" i="6"/>
  <c r="V131" i="6"/>
  <c r="W131" i="6"/>
  <c r="X131" i="6"/>
  <c r="Y131" i="6"/>
  <c r="Z131" i="6"/>
  <c r="AA131" i="6"/>
  <c r="AB131" i="6"/>
  <c r="AC131" i="6"/>
  <c r="AD131" i="6"/>
  <c r="AE131" i="6"/>
  <c r="AF131" i="6"/>
  <c r="AG131" i="6"/>
  <c r="AH131" i="6"/>
  <c r="AI131" i="6"/>
  <c r="AJ131" i="6"/>
  <c r="AK131" i="6"/>
  <c r="AL131" i="6"/>
  <c r="AM131" i="6"/>
  <c r="AN131" i="6"/>
  <c r="AO131" i="6"/>
  <c r="AP131" i="6"/>
  <c r="AQ131" i="6"/>
  <c r="AR131" i="6"/>
  <c r="AS131" i="6"/>
  <c r="AT131" i="6"/>
  <c r="AT99" i="11"/>
  <c r="P35" i="15" l="1"/>
  <c r="P33" i="15"/>
  <c r="P37" i="15"/>
  <c r="P39" i="15"/>
  <c r="P120" i="15" s="1"/>
  <c r="P40" i="15"/>
  <c r="P42" i="15"/>
  <c r="P49" i="15" s="1"/>
  <c r="P66" i="15"/>
  <c r="P31" i="15"/>
  <c r="P2" i="15"/>
  <c r="P22" i="15"/>
  <c r="P113" i="15" s="1"/>
  <c r="CK5" i="1"/>
  <c r="P9" i="15"/>
  <c r="CK4" i="1"/>
  <c r="P7" i="15"/>
  <c r="CK6" i="1"/>
  <c r="P11" i="15"/>
  <c r="CK9" i="1"/>
  <c r="P16" i="15"/>
  <c r="CK7" i="1"/>
  <c r="P13" i="15"/>
  <c r="CK8" i="1"/>
  <c r="P15" i="15"/>
  <c r="CK10" i="1"/>
  <c r="P18" i="15"/>
  <c r="CK13" i="1"/>
  <c r="AY53" i="1"/>
  <c r="AV49" i="6"/>
  <c r="AY48" i="6"/>
  <c r="AU64" i="9"/>
  <c r="AY72" i="9" s="1"/>
  <c r="AW79" i="9"/>
  <c r="AV22" i="9"/>
  <c r="AZ23" i="9" s="1"/>
  <c r="AW65" i="7"/>
  <c r="AU102" i="3"/>
  <c r="AU51" i="3"/>
  <c r="AV60" i="9"/>
  <c r="AV65" i="7"/>
  <c r="AU50" i="1"/>
  <c r="AU30" i="2"/>
  <c r="AV54" i="1"/>
  <c r="AU13" i="2"/>
  <c r="AU116" i="3"/>
  <c r="AU133" i="11"/>
  <c r="AU45" i="1"/>
  <c r="AU71" i="4"/>
  <c r="AU118" i="3"/>
  <c r="AU58" i="4"/>
  <c r="AU86" i="5"/>
  <c r="AU76" i="5"/>
  <c r="AU70" i="5"/>
  <c r="AY74" i="5" s="1"/>
  <c r="AU46" i="1"/>
  <c r="AU79" i="4"/>
  <c r="AU95" i="4"/>
  <c r="AU101" i="4" s="1"/>
  <c r="AU84" i="7"/>
  <c r="AU79" i="7"/>
  <c r="AU68" i="7"/>
  <c r="AU63" i="7"/>
  <c r="AU11" i="1"/>
  <c r="CK11" i="1" s="1"/>
  <c r="AU44" i="1"/>
  <c r="AU37" i="1"/>
  <c r="AU5" i="8"/>
  <c r="AU28" i="8" s="1"/>
  <c r="AY36" i="8" s="1"/>
  <c r="AU43" i="1"/>
  <c r="AU61" i="3"/>
  <c r="AU76" i="3" s="1"/>
  <c r="AU89" i="3" s="1"/>
  <c r="AU42" i="1"/>
  <c r="AU45" i="6"/>
  <c r="AU68" i="6" s="1"/>
  <c r="AU79" i="6" s="1"/>
  <c r="AU120" i="6"/>
  <c r="AU107" i="6"/>
  <c r="AU56" i="1"/>
  <c r="AU115" i="11"/>
  <c r="AU118" i="11" s="1"/>
  <c r="AU23" i="1"/>
  <c r="AU65" i="1"/>
  <c r="AU65" i="9"/>
  <c r="AY73" i="9" s="1"/>
  <c r="AU87" i="9"/>
  <c r="AU66" i="9"/>
  <c r="AY74" i="9" s="1"/>
  <c r="AU67" i="9"/>
  <c r="AY75" i="9" s="1"/>
  <c r="AU68" i="9"/>
  <c r="AY76" i="9" s="1"/>
  <c r="AU63" i="9"/>
  <c r="AY71" i="9" s="1"/>
  <c r="AU21" i="9"/>
  <c r="AY78" i="9" s="1"/>
  <c r="AT27" i="9"/>
  <c r="AS27" i="9"/>
  <c r="P110" i="15" l="1"/>
  <c r="T50" i="15"/>
  <c r="P111" i="15"/>
  <c r="P107" i="15"/>
  <c r="P109" i="15"/>
  <c r="P105" i="15"/>
  <c r="P108" i="15"/>
  <c r="P106" i="15"/>
  <c r="T43" i="15"/>
  <c r="P122" i="15"/>
  <c r="T41" i="15"/>
  <c r="P121" i="15"/>
  <c r="T38" i="15"/>
  <c r="P119" i="15"/>
  <c r="T34" i="15"/>
  <c r="P117" i="15"/>
  <c r="T32" i="15"/>
  <c r="P116" i="15"/>
  <c r="T36" i="15"/>
  <c r="P118" i="15"/>
  <c r="AY57" i="1"/>
  <c r="P69" i="15"/>
  <c r="P20" i="15"/>
  <c r="P26" i="15"/>
  <c r="P81" i="15"/>
  <c r="P46" i="15"/>
  <c r="T47" i="15" s="1"/>
  <c r="T23" i="15"/>
  <c r="P82" i="15"/>
  <c r="P78" i="15"/>
  <c r="P76" i="15"/>
  <c r="P79" i="15"/>
  <c r="P77" i="15"/>
  <c r="P63" i="15"/>
  <c r="P73" i="15"/>
  <c r="T8" i="15"/>
  <c r="T12" i="15"/>
  <c r="T10" i="15"/>
  <c r="T14" i="15"/>
  <c r="T17" i="15"/>
  <c r="T19" i="15"/>
  <c r="AV59" i="1"/>
  <c r="AY58" i="1"/>
  <c r="AV79" i="9"/>
  <c r="AU22" i="9"/>
  <c r="AY23" i="9" s="1"/>
  <c r="AU26" i="8"/>
  <c r="AY34" i="8" s="1"/>
  <c r="AU27" i="8"/>
  <c r="AY35" i="8" s="1"/>
  <c r="AU29" i="8"/>
  <c r="AY37" i="8" s="1"/>
  <c r="AU24" i="8"/>
  <c r="AY32" i="8" s="1"/>
  <c r="AU25" i="8"/>
  <c r="AY33" i="8" s="1"/>
  <c r="AQ5" i="2"/>
  <c r="AP5" i="2"/>
  <c r="AT35" i="6"/>
  <c r="AS35" i="6"/>
  <c r="AR35" i="6"/>
  <c r="AQ35" i="6"/>
  <c r="AP35" i="6"/>
  <c r="AT39" i="4"/>
  <c r="AT38" i="4"/>
  <c r="AT37" i="4"/>
  <c r="AT36" i="4"/>
  <c r="AT35" i="4"/>
  <c r="AT34" i="4"/>
  <c r="AT33" i="4"/>
  <c r="AT32" i="4"/>
  <c r="AT31" i="4"/>
  <c r="AT30" i="4"/>
  <c r="P51" i="15" l="1"/>
  <c r="P112" i="15"/>
  <c r="T27" i="15"/>
  <c r="AT97" i="5"/>
  <c r="AT95" i="5"/>
  <c r="AT89" i="5"/>
  <c r="AT88" i="5"/>
  <c r="AT87" i="5"/>
  <c r="AT80" i="5"/>
  <c r="AT78" i="5"/>
  <c r="AT73" i="5"/>
  <c r="AT72" i="5"/>
  <c r="AT69" i="5"/>
  <c r="AT91" i="5" s="1"/>
  <c r="AX96" i="5" s="1"/>
  <c r="AT7" i="5"/>
  <c r="AT1" i="5"/>
  <c r="AT51" i="5" s="1"/>
  <c r="AT76" i="5" s="1"/>
  <c r="AT102" i="4"/>
  <c r="AT96" i="4"/>
  <c r="AW97" i="4" s="1"/>
  <c r="AT92" i="4"/>
  <c r="AT91" i="4"/>
  <c r="AT90" i="4"/>
  <c r="AT89" i="4"/>
  <c r="AT88" i="4"/>
  <c r="AT84" i="4"/>
  <c r="AT83" i="4"/>
  <c r="AT81" i="4"/>
  <c r="AT80" i="4"/>
  <c r="AT74" i="4"/>
  <c r="AT72" i="4"/>
  <c r="AT67" i="4"/>
  <c r="AT66" i="4"/>
  <c r="AT62" i="4"/>
  <c r="AX64" i="4" s="1"/>
  <c r="AT60" i="4"/>
  <c r="AT56" i="4"/>
  <c r="AT52" i="4"/>
  <c r="AT51" i="4"/>
  <c r="AT49" i="4"/>
  <c r="AT46" i="4"/>
  <c r="AX47" i="4" s="1"/>
  <c r="AT45" i="4"/>
  <c r="AT43" i="4"/>
  <c r="AT1" i="4"/>
  <c r="AT41" i="4" s="1"/>
  <c r="AT54" i="4" s="1"/>
  <c r="AT69" i="4" s="1"/>
  <c r="AT66" i="7"/>
  <c r="AT65" i="7"/>
  <c r="AT49" i="7"/>
  <c r="AT46" i="7"/>
  <c r="AT1" i="7"/>
  <c r="AT43" i="7" s="1"/>
  <c r="AT132" i="3"/>
  <c r="AX133" i="3" s="1"/>
  <c r="AT126" i="3"/>
  <c r="AT124" i="3"/>
  <c r="AT122" i="3"/>
  <c r="AT121" i="3"/>
  <c r="AT119" i="3"/>
  <c r="AT100" i="3"/>
  <c r="AT98" i="3"/>
  <c r="AT97" i="3"/>
  <c r="AT94" i="3"/>
  <c r="AT93" i="3"/>
  <c r="AT91" i="3"/>
  <c r="AT87" i="3"/>
  <c r="AT85" i="3"/>
  <c r="AT84" i="3"/>
  <c r="AT81" i="3"/>
  <c r="AX82" i="3" s="1"/>
  <c r="AT80" i="3"/>
  <c r="AT78" i="3"/>
  <c r="AT73" i="3"/>
  <c r="AT71" i="3"/>
  <c r="AT70" i="3"/>
  <c r="AT67" i="3"/>
  <c r="AX68" i="3" s="1"/>
  <c r="AT66" i="3"/>
  <c r="AT64" i="3"/>
  <c r="AT1" i="3"/>
  <c r="AT28" i="2"/>
  <c r="AT27" i="2"/>
  <c r="AT24" i="2"/>
  <c r="AX25" i="2" s="1"/>
  <c r="AT21" i="2"/>
  <c r="AX22" i="2" s="1"/>
  <c r="AT19" i="2"/>
  <c r="AT18" i="2"/>
  <c r="AT16" i="2"/>
  <c r="AT15" i="2"/>
  <c r="AT1" i="2"/>
  <c r="AT122" i="6"/>
  <c r="AT121" i="6"/>
  <c r="AT108" i="6"/>
  <c r="AT102" i="6"/>
  <c r="AT100" i="6"/>
  <c r="AT99" i="6"/>
  <c r="AT94" i="6"/>
  <c r="AT86" i="6"/>
  <c r="AT84" i="6"/>
  <c r="AT82" i="6"/>
  <c r="AU103" i="6" s="1"/>
  <c r="AT81" i="6"/>
  <c r="AT80" i="6"/>
  <c r="AT75" i="6"/>
  <c r="AT73" i="6"/>
  <c r="AT70" i="6"/>
  <c r="AT69" i="6"/>
  <c r="AT67" i="6"/>
  <c r="AT66" i="6"/>
  <c r="AT65" i="6"/>
  <c r="AT17" i="6"/>
  <c r="AT18" i="6" s="1"/>
  <c r="AT6" i="6"/>
  <c r="AT1" i="6"/>
  <c r="AT48" i="8"/>
  <c r="AT47" i="8"/>
  <c r="AT45" i="8"/>
  <c r="AT44" i="8"/>
  <c r="AT43" i="8"/>
  <c r="AT42" i="8"/>
  <c r="AT41" i="8"/>
  <c r="AT40" i="8"/>
  <c r="AT1" i="8"/>
  <c r="AT20" i="8" s="1"/>
  <c r="AT64" i="1"/>
  <c r="AT62" i="1"/>
  <c r="AT61" i="1"/>
  <c r="AT47" i="1"/>
  <c r="AX67" i="1" s="1"/>
  <c r="AT36" i="1"/>
  <c r="AT35" i="1"/>
  <c r="AT34" i="1"/>
  <c r="AT33" i="1"/>
  <c r="AT32" i="1"/>
  <c r="AT31" i="1"/>
  <c r="AT30" i="1"/>
  <c r="AT22" i="1"/>
  <c r="AT21" i="1"/>
  <c r="AT20" i="1"/>
  <c r="AT19" i="1"/>
  <c r="AT18" i="1"/>
  <c r="AT17" i="1"/>
  <c r="AT16" i="1"/>
  <c r="AT13" i="1"/>
  <c r="AT10" i="1"/>
  <c r="AT9" i="1"/>
  <c r="AT8" i="1"/>
  <c r="AT7" i="1"/>
  <c r="AT6" i="1"/>
  <c r="AT5" i="1"/>
  <c r="AT4" i="1"/>
  <c r="AT1" i="1"/>
  <c r="AT134" i="11"/>
  <c r="AT127" i="11"/>
  <c r="AT126" i="11"/>
  <c r="AT124" i="11"/>
  <c r="AT123" i="11"/>
  <c r="AT113" i="11"/>
  <c r="AT111" i="11"/>
  <c r="AT110" i="11"/>
  <c r="AT109" i="11"/>
  <c r="AT108" i="11"/>
  <c r="AT106" i="11"/>
  <c r="AT87" i="11"/>
  <c r="AT2" i="11"/>
  <c r="AT1" i="11"/>
  <c r="AT80" i="11" s="1"/>
  <c r="AT103" i="11" s="1"/>
  <c r="AT121" i="11" s="1"/>
  <c r="AT3" i="10"/>
  <c r="AT1" i="10"/>
  <c r="T52" i="15" l="1"/>
  <c r="O66" i="15"/>
  <c r="O9" i="15"/>
  <c r="O11" i="15"/>
  <c r="O7" i="15"/>
  <c r="O13" i="15"/>
  <c r="O18" i="15"/>
  <c r="O15" i="15"/>
  <c r="O16" i="15"/>
  <c r="O2" i="15"/>
  <c r="O22" i="15"/>
  <c r="BX22" i="1"/>
  <c r="O42" i="15"/>
  <c r="O49" i="15" s="1"/>
  <c r="BX16" i="1"/>
  <c r="O31" i="15"/>
  <c r="BX17" i="1"/>
  <c r="O33" i="15"/>
  <c r="BX21" i="1"/>
  <c r="O40" i="15"/>
  <c r="BX18" i="1"/>
  <c r="O35" i="15"/>
  <c r="BX19" i="1"/>
  <c r="O37" i="15"/>
  <c r="BX20" i="1"/>
  <c r="O39" i="15"/>
  <c r="O120" i="15" s="1"/>
  <c r="CJ13" i="1"/>
  <c r="CH5" i="1"/>
  <c r="CJ5" i="1"/>
  <c r="CH4" i="1"/>
  <c r="CJ4" i="1"/>
  <c r="CH8" i="1"/>
  <c r="CJ8" i="1"/>
  <c r="CH9" i="1"/>
  <c r="CJ9" i="1"/>
  <c r="CH6" i="1"/>
  <c r="CJ6" i="1"/>
  <c r="CH7" i="1"/>
  <c r="CJ7" i="1"/>
  <c r="CH10" i="1"/>
  <c r="CJ10" i="1"/>
  <c r="AX53" i="1"/>
  <c r="AU49" i="6"/>
  <c r="AX48" i="6"/>
  <c r="CH13" i="1"/>
  <c r="AT116" i="3"/>
  <c r="AT51" i="3"/>
  <c r="AT50" i="1"/>
  <c r="AT30" i="2"/>
  <c r="AT65" i="1"/>
  <c r="AU54" i="1"/>
  <c r="AT120" i="6"/>
  <c r="AT130" i="6"/>
  <c r="AT42" i="1"/>
  <c r="AT102" i="3"/>
  <c r="AT44" i="1"/>
  <c r="AT118" i="3"/>
  <c r="AT13" i="2"/>
  <c r="AT71" i="4"/>
  <c r="AT61" i="3"/>
  <c r="AT76" i="3" s="1"/>
  <c r="AT89" i="3" s="1"/>
  <c r="AT58" i="4"/>
  <c r="AT45" i="1"/>
  <c r="AT86" i="5"/>
  <c r="AT70" i="5"/>
  <c r="AX74" i="5" s="1"/>
  <c r="AT37" i="1"/>
  <c r="AT46" i="1"/>
  <c r="AT79" i="4"/>
  <c r="AT95" i="4"/>
  <c r="AT101" i="4" s="1"/>
  <c r="AT79" i="7"/>
  <c r="AT68" i="7"/>
  <c r="AT63" i="7"/>
  <c r="AT84" i="7"/>
  <c r="AT23" i="1"/>
  <c r="BX23" i="1" s="1"/>
  <c r="AT5" i="8"/>
  <c r="AT28" i="8" s="1"/>
  <c r="AX36" i="8" s="1"/>
  <c r="AT43" i="1"/>
  <c r="AT107" i="6"/>
  <c r="AT45" i="6"/>
  <c r="AT68" i="6" s="1"/>
  <c r="AT79" i="6" s="1"/>
  <c r="AT115" i="11"/>
  <c r="AT118" i="11" s="1"/>
  <c r="AT56" i="1"/>
  <c r="AT133" i="11"/>
  <c r="AT11" i="1"/>
  <c r="S50" i="15" l="1"/>
  <c r="O105" i="15"/>
  <c r="O107" i="15"/>
  <c r="O110" i="15"/>
  <c r="O109" i="15"/>
  <c r="O111" i="15"/>
  <c r="O108" i="15"/>
  <c r="AM38" i="15"/>
  <c r="O119" i="15"/>
  <c r="AM32" i="15"/>
  <c r="O116" i="15"/>
  <c r="AM36" i="15"/>
  <c r="O118" i="15"/>
  <c r="AL47" i="15"/>
  <c r="AM48" i="15" s="1"/>
  <c r="O122" i="15"/>
  <c r="AM34" i="15"/>
  <c r="O117" i="15"/>
  <c r="AM41" i="15"/>
  <c r="O121" i="15"/>
  <c r="AL113" i="15"/>
  <c r="O113" i="15"/>
  <c r="O106" i="15"/>
  <c r="AX57" i="1"/>
  <c r="AM17" i="15"/>
  <c r="AM19" i="15"/>
  <c r="AM14" i="15"/>
  <c r="AM8" i="15"/>
  <c r="AM12" i="15"/>
  <c r="AM10" i="15"/>
  <c r="AN66" i="15"/>
  <c r="O73" i="15"/>
  <c r="O26" i="15"/>
  <c r="O20" i="15"/>
  <c r="S10" i="15"/>
  <c r="O69" i="15"/>
  <c r="O46" i="15"/>
  <c r="S47" i="15" s="1"/>
  <c r="S19" i="15"/>
  <c r="S17" i="15"/>
  <c r="S23" i="15"/>
  <c r="O63" i="15"/>
  <c r="S8" i="15"/>
  <c r="S14" i="15"/>
  <c r="S12" i="15"/>
  <c r="O79" i="15"/>
  <c r="O76" i="15"/>
  <c r="O78" i="15"/>
  <c r="O82" i="15"/>
  <c r="O81" i="15"/>
  <c r="O77" i="15"/>
  <c r="S43" i="15"/>
  <c r="S38" i="15"/>
  <c r="S32" i="15"/>
  <c r="S36" i="15"/>
  <c r="S34" i="15"/>
  <c r="S41" i="15"/>
  <c r="CH11" i="1"/>
  <c r="CJ11" i="1"/>
  <c r="AU59" i="1"/>
  <c r="AX58" i="1"/>
  <c r="AT29" i="8"/>
  <c r="AX37" i="8" s="1"/>
  <c r="AT25" i="8"/>
  <c r="AX33" i="8" s="1"/>
  <c r="AT24" i="8"/>
  <c r="AX32" i="8" s="1"/>
  <c r="AT26" i="8"/>
  <c r="AX34" i="8" s="1"/>
  <c r="AT27" i="8"/>
  <c r="AX35" i="8" s="1"/>
  <c r="O51" i="15" l="1"/>
  <c r="O112" i="15"/>
  <c r="AM43" i="15"/>
  <c r="AL109" i="15"/>
  <c r="AL112" i="15"/>
  <c r="AL26" i="15"/>
  <c r="AM27" i="15" s="1"/>
  <c r="AL105" i="15"/>
  <c r="AL111" i="15"/>
  <c r="AL110" i="15"/>
  <c r="AL107" i="15"/>
  <c r="AL108" i="15"/>
  <c r="AL106" i="15"/>
  <c r="S27" i="15"/>
  <c r="AL63" i="15"/>
  <c r="AL69" i="15"/>
  <c r="AM23" i="15"/>
  <c r="AL46" i="15"/>
  <c r="AT86" i="9"/>
  <c r="AT84" i="9"/>
  <c r="AT83" i="9"/>
  <c r="AT81" i="9"/>
  <c r="AT54" i="9"/>
  <c r="AT51" i="9"/>
  <c r="AX88" i="9" s="1"/>
  <c r="AT48" i="9"/>
  <c r="AT18" i="9"/>
  <c r="AT7" i="9"/>
  <c r="S52" i="15" l="1"/>
  <c r="AU60" i="9"/>
  <c r="AX59" i="9"/>
  <c r="AT21" i="9"/>
  <c r="AT63" i="9"/>
  <c r="AX71" i="9" s="1"/>
  <c r="AT64" i="9"/>
  <c r="AX72" i="9" s="1"/>
  <c r="AT65" i="9"/>
  <c r="AX73" i="9" s="1"/>
  <c r="AT87" i="9"/>
  <c r="AT66" i="9"/>
  <c r="AX74" i="9" s="1"/>
  <c r="AT67" i="9"/>
  <c r="AX75" i="9" s="1"/>
  <c r="AT68" i="9"/>
  <c r="AX76" i="9" s="1"/>
  <c r="AS124" i="11"/>
  <c r="AS123" i="11"/>
  <c r="AS106" i="11"/>
  <c r="AS99" i="11"/>
  <c r="AU79" i="9" l="1"/>
  <c r="AT22" i="9"/>
  <c r="AX78" i="9"/>
  <c r="AS17" i="6"/>
  <c r="AS18" i="6" s="1"/>
  <c r="AX23" i="9" l="1"/>
  <c r="AT49" i="6"/>
  <c r="AW48" i="6"/>
  <c r="AS74" i="10"/>
  <c r="AS70" i="10"/>
  <c r="AS65" i="10"/>
  <c r="AS61" i="10"/>
  <c r="AS59" i="10"/>
  <c r="AS6" i="10"/>
  <c r="AS17" i="10"/>
  <c r="AS47" i="1"/>
  <c r="AW67" i="1" s="1"/>
  <c r="AS30" i="1"/>
  <c r="AS31" i="1"/>
  <c r="AS32" i="1"/>
  <c r="AS33" i="1"/>
  <c r="AS34" i="1"/>
  <c r="AS35" i="1"/>
  <c r="AS36" i="1"/>
  <c r="AS16" i="1"/>
  <c r="AS17" i="1"/>
  <c r="AS18" i="1"/>
  <c r="AS19" i="1"/>
  <c r="AS20" i="1"/>
  <c r="AS21" i="1"/>
  <c r="AS22" i="1"/>
  <c r="AS4" i="1"/>
  <c r="AS5" i="1"/>
  <c r="AS6" i="1"/>
  <c r="AS7" i="1"/>
  <c r="AS8" i="1"/>
  <c r="AS9" i="1"/>
  <c r="AS10" i="1"/>
  <c r="AS13" i="1"/>
  <c r="AS32" i="9"/>
  <c r="N133" i="15" l="1"/>
  <c r="N134" i="15" s="1"/>
  <c r="N136" i="15" s="1"/>
  <c r="N40" i="15"/>
  <c r="N39" i="15"/>
  <c r="N120" i="15" s="1"/>
  <c r="N66" i="15"/>
  <c r="N37" i="15"/>
  <c r="N33" i="15"/>
  <c r="N35" i="15"/>
  <c r="N31" i="15"/>
  <c r="N42" i="15"/>
  <c r="N49" i="15" s="1"/>
  <c r="N22" i="15"/>
  <c r="N113" i="15" s="1"/>
  <c r="CI10" i="1"/>
  <c r="N18" i="15"/>
  <c r="CI8" i="1"/>
  <c r="N15" i="15"/>
  <c r="CI9" i="1"/>
  <c r="N16" i="15"/>
  <c r="CI7" i="1"/>
  <c r="N13" i="15"/>
  <c r="N108" i="15" s="1"/>
  <c r="CI6" i="1"/>
  <c r="N11" i="15"/>
  <c r="CI5" i="1"/>
  <c r="N9" i="15"/>
  <c r="CI4" i="1"/>
  <c r="N7" i="15"/>
  <c r="CI13" i="1"/>
  <c r="CD8" i="1"/>
  <c r="CD10" i="1"/>
  <c r="CD9" i="1"/>
  <c r="CD7" i="1"/>
  <c r="CD5" i="1"/>
  <c r="CD6" i="1"/>
  <c r="CD4" i="1"/>
  <c r="AT54" i="1"/>
  <c r="AW53" i="1"/>
  <c r="AS78" i="10"/>
  <c r="AS89" i="10" s="1"/>
  <c r="AS42" i="1"/>
  <c r="AS44" i="1"/>
  <c r="AS46" i="1"/>
  <c r="AS45" i="1"/>
  <c r="AS23" i="1"/>
  <c r="AS11" i="1"/>
  <c r="CI11" i="1" s="1"/>
  <c r="AS37" i="1"/>
  <c r="AS43" i="1"/>
  <c r="R50" i="15" l="1"/>
  <c r="N105" i="15"/>
  <c r="N110" i="15"/>
  <c r="N106" i="15"/>
  <c r="N109" i="15"/>
  <c r="N107" i="15"/>
  <c r="N111" i="15"/>
  <c r="R38" i="15"/>
  <c r="N119" i="15"/>
  <c r="R43" i="15"/>
  <c r="N122" i="15"/>
  <c r="R32" i="15"/>
  <c r="N116" i="15"/>
  <c r="R36" i="15"/>
  <c r="N118" i="15"/>
  <c r="R34" i="15"/>
  <c r="N117" i="15"/>
  <c r="R41" i="15"/>
  <c r="N121" i="15"/>
  <c r="N69" i="15"/>
  <c r="N26" i="15"/>
  <c r="N20" i="15"/>
  <c r="N81" i="15"/>
  <c r="N79" i="15"/>
  <c r="N46" i="15"/>
  <c r="R47" i="15" s="1"/>
  <c r="R23" i="15"/>
  <c r="N76" i="15"/>
  <c r="N77" i="15"/>
  <c r="N78" i="15"/>
  <c r="N82" i="15"/>
  <c r="N63" i="15"/>
  <c r="N73" i="15"/>
  <c r="R10" i="15"/>
  <c r="R19" i="15"/>
  <c r="R12" i="15"/>
  <c r="R14" i="15"/>
  <c r="R8" i="15"/>
  <c r="R17" i="15"/>
  <c r="CD11" i="1"/>
  <c r="AS97" i="5"/>
  <c r="AS95" i="5"/>
  <c r="AS89" i="5"/>
  <c r="AS88" i="5"/>
  <c r="AS87" i="5"/>
  <c r="AS80" i="5"/>
  <c r="AS78" i="5"/>
  <c r="AS73" i="5"/>
  <c r="AS72" i="5"/>
  <c r="AS69" i="5"/>
  <c r="AS91" i="5" s="1"/>
  <c r="AW96" i="5" s="1"/>
  <c r="AS7" i="5"/>
  <c r="AS1" i="5"/>
  <c r="AS51" i="5" s="1"/>
  <c r="AS76" i="5" s="1"/>
  <c r="AS102" i="4"/>
  <c r="AS96" i="4"/>
  <c r="AV97" i="4" s="1"/>
  <c r="AS92" i="4"/>
  <c r="AS91" i="4"/>
  <c r="AS90" i="4"/>
  <c r="AS89" i="4"/>
  <c r="AS88" i="4"/>
  <c r="AS84" i="4"/>
  <c r="AS83" i="4"/>
  <c r="AS81" i="4"/>
  <c r="AS80" i="4"/>
  <c r="AS74" i="4"/>
  <c r="AS72" i="4"/>
  <c r="AS67" i="4"/>
  <c r="AS66" i="4"/>
  <c r="AS62" i="4"/>
  <c r="AW64" i="4" s="1"/>
  <c r="AS60" i="4"/>
  <c r="AS56" i="4"/>
  <c r="AS52" i="4"/>
  <c r="AS51" i="4"/>
  <c r="AS49" i="4"/>
  <c r="AS46" i="4"/>
  <c r="AW47" i="4" s="1"/>
  <c r="AS45" i="4"/>
  <c r="AS43" i="4"/>
  <c r="AS39" i="4"/>
  <c r="AS38" i="4"/>
  <c r="AS37" i="4"/>
  <c r="AS36" i="4"/>
  <c r="AS35" i="4"/>
  <c r="AS34" i="4"/>
  <c r="AS32" i="4"/>
  <c r="AS31" i="4"/>
  <c r="AS30" i="4"/>
  <c r="AS33" i="4"/>
  <c r="AS1" i="4"/>
  <c r="AS41" i="4" s="1"/>
  <c r="AS54" i="4" s="1"/>
  <c r="AS69" i="4" s="1"/>
  <c r="AS66" i="7"/>
  <c r="AS65" i="7"/>
  <c r="AS46" i="7"/>
  <c r="AS1" i="7"/>
  <c r="AS43" i="7" s="1"/>
  <c r="AS132" i="3"/>
  <c r="AW133" i="3" s="1"/>
  <c r="AS126" i="3"/>
  <c r="AS124" i="3"/>
  <c r="AS122" i="3"/>
  <c r="AS121" i="3"/>
  <c r="AS119" i="3"/>
  <c r="AS100" i="3"/>
  <c r="AS98" i="3"/>
  <c r="AS97" i="3"/>
  <c r="AS93" i="3"/>
  <c r="AS91" i="3"/>
  <c r="AS87" i="3"/>
  <c r="AS85" i="3"/>
  <c r="AS84" i="3"/>
  <c r="AS81" i="3"/>
  <c r="AW82" i="3" s="1"/>
  <c r="AS80" i="3"/>
  <c r="AS78" i="3"/>
  <c r="AS73" i="3"/>
  <c r="AS71" i="3"/>
  <c r="AS70" i="3"/>
  <c r="AS67" i="3"/>
  <c r="AW68" i="3" s="1"/>
  <c r="AS66" i="3"/>
  <c r="AS64" i="3"/>
  <c r="AS1" i="3"/>
  <c r="AS28" i="2"/>
  <c r="AS27" i="2"/>
  <c r="AS24" i="2"/>
  <c r="AW25" i="2" s="1"/>
  <c r="AS21" i="2"/>
  <c r="AW22" i="2" s="1"/>
  <c r="AS19" i="2"/>
  <c r="AS18" i="2"/>
  <c r="AS16" i="2"/>
  <c r="AS15" i="2"/>
  <c r="AS1" i="2"/>
  <c r="AS122" i="6"/>
  <c r="AS121" i="6"/>
  <c r="AS108" i="6"/>
  <c r="AS102" i="6"/>
  <c r="AS100" i="6"/>
  <c r="AS99" i="6"/>
  <c r="AS94" i="6"/>
  <c r="AS86" i="6"/>
  <c r="AS84" i="6"/>
  <c r="AS82" i="6"/>
  <c r="AT103" i="6" s="1"/>
  <c r="AS81" i="6"/>
  <c r="AS80" i="6"/>
  <c r="AS75" i="6"/>
  <c r="AS73" i="6"/>
  <c r="AS70" i="6"/>
  <c r="AS69" i="6"/>
  <c r="AS67" i="6"/>
  <c r="AS66" i="6"/>
  <c r="AS65" i="6"/>
  <c r="AS6" i="6"/>
  <c r="AS1" i="6"/>
  <c r="AS48" i="8"/>
  <c r="AS47" i="8"/>
  <c r="AS45" i="8"/>
  <c r="AS44" i="8"/>
  <c r="AS43" i="8"/>
  <c r="AS42" i="8"/>
  <c r="AS41" i="8"/>
  <c r="AS40" i="8"/>
  <c r="AS1" i="8"/>
  <c r="AS20" i="8" s="1"/>
  <c r="AS64" i="1"/>
  <c r="AS62" i="1"/>
  <c r="AS61" i="1"/>
  <c r="AS65" i="1"/>
  <c r="AS5" i="8"/>
  <c r="AS27" i="8" s="1"/>
  <c r="AW35" i="8" s="1"/>
  <c r="AS1" i="1"/>
  <c r="AS134" i="11"/>
  <c r="AS127" i="11"/>
  <c r="AS126" i="11"/>
  <c r="AS113" i="11"/>
  <c r="AS111" i="11"/>
  <c r="AS110" i="11"/>
  <c r="AS109" i="11"/>
  <c r="AS108" i="11"/>
  <c r="AS87" i="11"/>
  <c r="AS133" i="11" s="1"/>
  <c r="AS2" i="11"/>
  <c r="AS1" i="11"/>
  <c r="AS80" i="11" s="1"/>
  <c r="AS103" i="11" s="1"/>
  <c r="AS121" i="11" s="1"/>
  <c r="AS3" i="10"/>
  <c r="AS1" i="10"/>
  <c r="AS86" i="9"/>
  <c r="AS84" i="9"/>
  <c r="AS83" i="9"/>
  <c r="AS81" i="9"/>
  <c r="AS54" i="9"/>
  <c r="AS51" i="9"/>
  <c r="AW88" i="9" s="1"/>
  <c r="AS48" i="9"/>
  <c r="AS18" i="9"/>
  <c r="AS7" i="9"/>
  <c r="AW59" i="9" s="1"/>
  <c r="AO35" i="6"/>
  <c r="AQ67" i="6"/>
  <c r="AP67" i="6"/>
  <c r="AR67" i="6"/>
  <c r="AN51" i="9"/>
  <c r="AQ51" i="9"/>
  <c r="AU88" i="9" s="1"/>
  <c r="AR51" i="9"/>
  <c r="AV88" i="9" s="1"/>
  <c r="N51" i="15" l="1"/>
  <c r="R52" i="15" s="1"/>
  <c r="N112" i="15"/>
  <c r="R27" i="15"/>
  <c r="N2" i="15"/>
  <c r="AS61" i="3"/>
  <c r="AS76" i="3" s="1"/>
  <c r="AS89" i="3" s="1"/>
  <c r="AS51" i="3"/>
  <c r="AS50" i="1"/>
  <c r="AS30" i="2"/>
  <c r="AS120" i="6"/>
  <c r="AS130" i="6"/>
  <c r="AS79" i="4"/>
  <c r="AS64" i="9"/>
  <c r="AW72" i="9" s="1"/>
  <c r="AT60" i="9"/>
  <c r="AS13" i="2"/>
  <c r="AS102" i="3"/>
  <c r="AS116" i="3"/>
  <c r="AS118" i="3"/>
  <c r="AS58" i="4"/>
  <c r="AS56" i="1"/>
  <c r="AS71" i="4"/>
  <c r="AS86" i="5"/>
  <c r="AS70" i="5"/>
  <c r="AW74" i="5" s="1"/>
  <c r="AS95" i="4"/>
  <c r="AS101" i="4" s="1"/>
  <c r="AS84" i="7"/>
  <c r="AS79" i="7"/>
  <c r="AS68" i="7"/>
  <c r="AS63" i="7"/>
  <c r="AS26" i="8"/>
  <c r="AW34" i="8" s="1"/>
  <c r="AS28" i="8"/>
  <c r="AW36" i="8" s="1"/>
  <c r="AS25" i="8"/>
  <c r="AW33" i="8" s="1"/>
  <c r="AS107" i="6"/>
  <c r="AS45" i="6"/>
  <c r="AS68" i="6" s="1"/>
  <c r="AS79" i="6" s="1"/>
  <c r="AS29" i="8"/>
  <c r="AW37" i="8" s="1"/>
  <c r="AS24" i="8"/>
  <c r="AW32" i="8" s="1"/>
  <c r="AS67" i="9"/>
  <c r="AW75" i="9" s="1"/>
  <c r="AS66" i="9"/>
  <c r="AW74" i="9" s="1"/>
  <c r="AS65" i="9"/>
  <c r="AW73" i="9" s="1"/>
  <c r="AS87" i="9"/>
  <c r="AS68" i="9"/>
  <c r="AW76" i="9" s="1"/>
  <c r="AS63" i="9"/>
  <c r="AW71" i="9" s="1"/>
  <c r="AS21" i="9"/>
  <c r="AS22" i="9" s="1"/>
  <c r="AW23" i="9" s="1"/>
  <c r="AR97" i="5"/>
  <c r="AR95" i="5"/>
  <c r="AR89" i="5"/>
  <c r="AR88" i="5"/>
  <c r="AR87" i="5"/>
  <c r="AR80" i="5"/>
  <c r="AR78" i="5"/>
  <c r="AR73" i="5"/>
  <c r="AR72" i="5"/>
  <c r="AR69" i="5"/>
  <c r="AR7" i="5"/>
  <c r="AR1" i="5"/>
  <c r="AR51" i="5" s="1"/>
  <c r="AR30" i="4"/>
  <c r="AR102" i="4"/>
  <c r="AR96" i="4"/>
  <c r="AU97" i="4" s="1"/>
  <c r="AR92" i="4"/>
  <c r="AR91" i="4"/>
  <c r="AR90" i="4"/>
  <c r="AR89" i="4"/>
  <c r="AR88" i="4"/>
  <c r="AR84" i="4"/>
  <c r="AR83" i="4"/>
  <c r="AR81" i="4"/>
  <c r="AR80" i="4"/>
  <c r="AR74" i="4"/>
  <c r="AR72" i="4"/>
  <c r="AR67" i="4"/>
  <c r="AR66" i="4"/>
  <c r="AR62" i="4"/>
  <c r="AV64" i="4" s="1"/>
  <c r="AR60" i="4"/>
  <c r="AR56" i="4"/>
  <c r="AR52" i="4"/>
  <c r="AR51" i="4"/>
  <c r="AR49" i="4"/>
  <c r="AR46" i="4"/>
  <c r="AV47" i="4" s="1"/>
  <c r="AR45" i="4"/>
  <c r="AR43" i="4"/>
  <c r="AR39" i="4"/>
  <c r="AR38" i="4"/>
  <c r="AR37" i="4"/>
  <c r="AR36" i="4"/>
  <c r="AR35" i="4"/>
  <c r="AR34" i="4"/>
  <c r="AR32" i="4"/>
  <c r="AR31" i="4"/>
  <c r="AR21" i="4"/>
  <c r="AR33" i="4" s="1"/>
  <c r="AR1" i="4"/>
  <c r="AR41" i="4" s="1"/>
  <c r="AR54" i="4" s="1"/>
  <c r="AR69" i="4" s="1"/>
  <c r="AR66" i="7"/>
  <c r="AR65" i="7"/>
  <c r="AR49" i="7"/>
  <c r="AR46" i="7"/>
  <c r="AR1" i="7"/>
  <c r="AR43" i="7" s="1"/>
  <c r="AR132" i="3"/>
  <c r="AV133" i="3" s="1"/>
  <c r="AR126" i="3"/>
  <c r="AR124" i="3"/>
  <c r="AR122" i="3"/>
  <c r="AR121" i="3"/>
  <c r="AR119" i="3"/>
  <c r="AR100" i="3"/>
  <c r="AR98" i="3"/>
  <c r="AR97" i="3"/>
  <c r="AR94" i="3"/>
  <c r="AV95" i="3" s="1"/>
  <c r="AR93" i="3"/>
  <c r="AR91" i="3"/>
  <c r="AR87" i="3"/>
  <c r="AR85" i="3"/>
  <c r="AR84" i="3"/>
  <c r="AR81" i="3"/>
  <c r="AV82" i="3" s="1"/>
  <c r="AR80" i="3"/>
  <c r="AR78" i="3"/>
  <c r="AR73" i="3"/>
  <c r="AR71" i="3"/>
  <c r="AR70" i="3"/>
  <c r="AR67" i="3"/>
  <c r="AV68" i="3" s="1"/>
  <c r="AR66" i="3"/>
  <c r="AR64" i="3"/>
  <c r="AR1" i="3"/>
  <c r="AR28" i="2"/>
  <c r="AR27" i="2"/>
  <c r="AR24" i="2"/>
  <c r="AV25" i="2" s="1"/>
  <c r="AR21" i="2"/>
  <c r="AV22" i="2" s="1"/>
  <c r="AR19" i="2"/>
  <c r="AR18" i="2"/>
  <c r="AR16" i="2"/>
  <c r="AR15" i="2"/>
  <c r="AR1" i="2"/>
  <c r="AR122" i="6"/>
  <c r="AR121" i="6"/>
  <c r="AR108" i="6"/>
  <c r="AR102" i="6"/>
  <c r="AR100" i="6"/>
  <c r="AR99" i="6"/>
  <c r="AR94" i="6"/>
  <c r="AR86" i="6"/>
  <c r="AR84" i="6"/>
  <c r="AR82" i="6"/>
  <c r="AS103" i="6" s="1"/>
  <c r="AR81" i="6"/>
  <c r="AR80" i="6"/>
  <c r="AR75" i="6"/>
  <c r="AR73" i="6"/>
  <c r="AR70" i="6"/>
  <c r="AR69" i="6"/>
  <c r="AR66" i="6"/>
  <c r="AR65" i="6"/>
  <c r="AR17" i="6"/>
  <c r="AR18" i="6" s="1"/>
  <c r="AR6" i="6"/>
  <c r="AR1" i="6"/>
  <c r="AR48" i="8"/>
  <c r="AR47" i="8"/>
  <c r="AR45" i="8"/>
  <c r="AR44" i="8"/>
  <c r="AR43" i="8"/>
  <c r="AR42" i="8"/>
  <c r="AR41" i="8"/>
  <c r="AR40" i="8"/>
  <c r="AR1" i="8"/>
  <c r="AR20" i="8" s="1"/>
  <c r="AR64" i="1"/>
  <c r="AR62" i="1"/>
  <c r="AR61" i="1"/>
  <c r="AR47" i="1"/>
  <c r="AV67" i="1" s="1"/>
  <c r="AR36" i="1"/>
  <c r="AR35" i="1"/>
  <c r="AR34" i="1"/>
  <c r="AR33" i="1"/>
  <c r="AR32" i="1"/>
  <c r="AR31" i="1"/>
  <c r="AR30" i="1"/>
  <c r="AR22" i="1"/>
  <c r="AR21" i="1"/>
  <c r="AR20" i="1"/>
  <c r="AR19" i="1"/>
  <c r="AR18" i="1"/>
  <c r="AR17" i="1"/>
  <c r="AR16" i="1"/>
  <c r="AR13" i="1"/>
  <c r="AR10" i="1"/>
  <c r="AR9" i="1"/>
  <c r="AR8" i="1"/>
  <c r="AR7" i="1"/>
  <c r="AR6" i="1"/>
  <c r="AR5" i="1"/>
  <c r="AR4" i="1"/>
  <c r="AR1" i="1"/>
  <c r="AR134" i="11"/>
  <c r="AR127" i="11"/>
  <c r="AR126" i="11"/>
  <c r="AR113" i="11"/>
  <c r="AR111" i="11"/>
  <c r="AR110" i="11"/>
  <c r="AR109" i="11"/>
  <c r="AR108" i="11"/>
  <c r="AR106" i="11"/>
  <c r="AR100" i="11"/>
  <c r="AR87" i="11"/>
  <c r="AR2" i="11"/>
  <c r="AR1" i="11"/>
  <c r="AR80" i="11" s="1"/>
  <c r="AR103" i="11" s="1"/>
  <c r="AR121" i="11" s="1"/>
  <c r="AR3" i="10"/>
  <c r="AR1" i="10"/>
  <c r="AR86" i="9"/>
  <c r="AR84" i="9"/>
  <c r="AR83" i="9"/>
  <c r="AR81" i="9"/>
  <c r="AR54" i="9"/>
  <c r="AR48" i="9"/>
  <c r="AR27" i="9"/>
  <c r="AR18" i="9"/>
  <c r="AR7" i="9"/>
  <c r="B132" i="3"/>
  <c r="C132" i="3"/>
  <c r="D132" i="3"/>
  <c r="E132" i="3"/>
  <c r="F132" i="3"/>
  <c r="G132" i="3"/>
  <c r="H132" i="3"/>
  <c r="I132" i="3"/>
  <c r="J132" i="3"/>
  <c r="K132" i="3"/>
  <c r="L132" i="3"/>
  <c r="M132" i="3"/>
  <c r="N132" i="3"/>
  <c r="O132" i="3"/>
  <c r="P132" i="3"/>
  <c r="Q132" i="3"/>
  <c r="R132" i="3"/>
  <c r="S132" i="3"/>
  <c r="T132" i="3"/>
  <c r="U132" i="3"/>
  <c r="V132" i="3"/>
  <c r="W132" i="3"/>
  <c r="X132" i="3"/>
  <c r="Y132" i="3"/>
  <c r="Z132" i="3"/>
  <c r="AA132" i="3"/>
  <c r="AC132" i="3"/>
  <c r="AD132" i="3"/>
  <c r="AE132" i="3"/>
  <c r="AF132" i="3"/>
  <c r="AG132" i="3"/>
  <c r="AH132" i="3"/>
  <c r="AI132" i="3"/>
  <c r="AJ132" i="3"/>
  <c r="AK132" i="3"/>
  <c r="AL132" i="3"/>
  <c r="AM132" i="3"/>
  <c r="AN132" i="3"/>
  <c r="AO132" i="3"/>
  <c r="AS133" i="3" s="1"/>
  <c r="AP132" i="3"/>
  <c r="AT133" i="3" s="1"/>
  <c r="AQ132" i="3"/>
  <c r="AU133" i="3" s="1"/>
  <c r="AQ39" i="4"/>
  <c r="AQ38" i="4"/>
  <c r="AQ37" i="4"/>
  <c r="AQ36" i="4"/>
  <c r="AQ35" i="4"/>
  <c r="AQ34" i="4"/>
  <c r="AQ32" i="4"/>
  <c r="AQ31" i="4"/>
  <c r="AQ30" i="4"/>
  <c r="AW57" i="1" l="1"/>
  <c r="M66" i="15"/>
  <c r="M9" i="15"/>
  <c r="M33" i="15"/>
  <c r="M117" i="15" s="1"/>
  <c r="M42" i="15"/>
  <c r="M49" i="15" s="1"/>
  <c r="M7" i="15"/>
  <c r="M18" i="15"/>
  <c r="M11" i="15"/>
  <c r="M13" i="15"/>
  <c r="M37" i="15"/>
  <c r="M35" i="15"/>
  <c r="M15" i="15"/>
  <c r="M39" i="15"/>
  <c r="M120" i="15" s="1"/>
  <c r="M31" i="15"/>
  <c r="M16" i="15"/>
  <c r="M40" i="15"/>
  <c r="M2" i="15"/>
  <c r="M22" i="15"/>
  <c r="M113" i="15" s="1"/>
  <c r="AV131" i="11"/>
  <c r="CC7" i="1"/>
  <c r="CC8" i="1"/>
  <c r="CC9" i="1"/>
  <c r="CC10" i="1"/>
  <c r="CC4" i="1"/>
  <c r="CC5" i="1"/>
  <c r="CC6" i="1"/>
  <c r="AR61" i="3"/>
  <c r="AR76" i="3" s="1"/>
  <c r="AR89" i="3" s="1"/>
  <c r="AR51" i="3"/>
  <c r="AT59" i="1"/>
  <c r="AW58" i="1"/>
  <c r="AT79" i="9"/>
  <c r="AW78" i="9"/>
  <c r="AR63" i="9"/>
  <c r="AV71" i="9" s="1"/>
  <c r="AV59" i="9"/>
  <c r="AR50" i="1"/>
  <c r="AR30" i="2"/>
  <c r="AR58" i="4"/>
  <c r="AV53" i="1"/>
  <c r="AS115" i="11"/>
  <c r="AS118" i="11" s="1"/>
  <c r="AS49" i="6"/>
  <c r="AV48" i="6"/>
  <c r="AR107" i="6"/>
  <c r="AR130" i="6"/>
  <c r="AH133" i="3"/>
  <c r="Y133" i="3"/>
  <c r="Q133" i="3"/>
  <c r="AP133" i="3"/>
  <c r="AI133" i="3"/>
  <c r="Z133" i="3"/>
  <c r="V133" i="3"/>
  <c r="AE133" i="3"/>
  <c r="T133" i="3"/>
  <c r="AR45" i="6"/>
  <c r="AR68" i="6" s="1"/>
  <c r="AR79" i="6" s="1"/>
  <c r="AR5" i="8"/>
  <c r="AR27" i="8" s="1"/>
  <c r="AV35" i="8" s="1"/>
  <c r="AS60" i="9"/>
  <c r="AS54" i="1"/>
  <c r="AR118" i="3"/>
  <c r="AR70" i="5"/>
  <c r="AV74" i="5" s="1"/>
  <c r="AR44" i="1"/>
  <c r="AO133" i="3"/>
  <c r="AR133" i="3"/>
  <c r="AN133" i="3"/>
  <c r="S133" i="3"/>
  <c r="AR79" i="7"/>
  <c r="AR84" i="7"/>
  <c r="AR120" i="6"/>
  <c r="AR102" i="3"/>
  <c r="AR116" i="3"/>
  <c r="AR71" i="4"/>
  <c r="AR13" i="2"/>
  <c r="AR86" i="5"/>
  <c r="AR76" i="5"/>
  <c r="AR91" i="5"/>
  <c r="AV96" i="5" s="1"/>
  <c r="AR79" i="4"/>
  <c r="AR45" i="1"/>
  <c r="AR46" i="1"/>
  <c r="AR95" i="4"/>
  <c r="AR101" i="4" s="1"/>
  <c r="AR63" i="7"/>
  <c r="AR68" i="7"/>
  <c r="AR23" i="1"/>
  <c r="AR42" i="1"/>
  <c r="AR37" i="1"/>
  <c r="AR43" i="1"/>
  <c r="AR56" i="1"/>
  <c r="AR133" i="11"/>
  <c r="AR11" i="1"/>
  <c r="CC11" i="1" s="1"/>
  <c r="AR65" i="1"/>
  <c r="AR123" i="11"/>
  <c r="AR124" i="11"/>
  <c r="AR68" i="9"/>
  <c r="AV76" i="9" s="1"/>
  <c r="AR66" i="9"/>
  <c r="AV74" i="9" s="1"/>
  <c r="AR21" i="9"/>
  <c r="AR22" i="9" s="1"/>
  <c r="AV23" i="9" s="1"/>
  <c r="AR64" i="9"/>
  <c r="AV72" i="9" s="1"/>
  <c r="AR65" i="9"/>
  <c r="AV73" i="9" s="1"/>
  <c r="AR87" i="9"/>
  <c r="AR67" i="9"/>
  <c r="AV75" i="9" s="1"/>
  <c r="AG133" i="3"/>
  <c r="W133" i="3"/>
  <c r="R133" i="3"/>
  <c r="AD133" i="3"/>
  <c r="X133" i="3"/>
  <c r="AL133" i="3"/>
  <c r="AJ133" i="3"/>
  <c r="P133" i="3"/>
  <c r="AA133" i="3"/>
  <c r="AM133" i="3"/>
  <c r="AC133" i="3"/>
  <c r="U133" i="3"/>
  <c r="AK133" i="3"/>
  <c r="AQ133" i="3"/>
  <c r="AQ97" i="5"/>
  <c r="AQ95" i="5"/>
  <c r="AQ89" i="5"/>
  <c r="AQ88" i="5"/>
  <c r="AQ87" i="5"/>
  <c r="AQ80" i="5"/>
  <c r="AQ78" i="5"/>
  <c r="AQ73" i="5"/>
  <c r="AQ72" i="5"/>
  <c r="AQ69" i="5"/>
  <c r="AQ91" i="5" s="1"/>
  <c r="AU96" i="5" s="1"/>
  <c r="AQ7" i="5"/>
  <c r="AQ1" i="5"/>
  <c r="AQ51" i="5" s="1"/>
  <c r="AQ76" i="5" s="1"/>
  <c r="AQ21" i="4"/>
  <c r="AQ33" i="4" s="1"/>
  <c r="AP21" i="4"/>
  <c r="AP33" i="4" s="1"/>
  <c r="AQ102" i="4"/>
  <c r="AQ96" i="4"/>
  <c r="AT97" i="4" s="1"/>
  <c r="AQ92" i="4"/>
  <c r="AQ91" i="4"/>
  <c r="AQ90" i="4"/>
  <c r="AQ89" i="4"/>
  <c r="AQ88" i="4"/>
  <c r="AQ84" i="4"/>
  <c r="AQ83" i="4"/>
  <c r="AQ81" i="4"/>
  <c r="AQ80" i="4"/>
  <c r="AQ74" i="4"/>
  <c r="AQ72" i="4"/>
  <c r="AQ67" i="4"/>
  <c r="AQ66" i="4"/>
  <c r="AQ62" i="4"/>
  <c r="AU64" i="4" s="1"/>
  <c r="AQ60" i="4"/>
  <c r="AQ56" i="4"/>
  <c r="AQ52" i="4"/>
  <c r="AQ51" i="4"/>
  <c r="AQ49" i="4"/>
  <c r="AQ46" i="4"/>
  <c r="AU47" i="4" s="1"/>
  <c r="AQ45" i="4"/>
  <c r="AQ43" i="4"/>
  <c r="AQ1" i="4"/>
  <c r="AQ41" i="4" s="1"/>
  <c r="AQ54" i="4" s="1"/>
  <c r="AQ69" i="4" s="1"/>
  <c r="AQ66" i="7"/>
  <c r="AQ65" i="7"/>
  <c r="AQ49" i="7"/>
  <c r="AQ46" i="7"/>
  <c r="AQ1" i="7"/>
  <c r="AQ43" i="7" s="1"/>
  <c r="AQ84" i="7" s="1"/>
  <c r="AQ126" i="3"/>
  <c r="AQ124" i="3"/>
  <c r="AQ122" i="3"/>
  <c r="AQ121" i="3"/>
  <c r="AQ119" i="3"/>
  <c r="AQ100" i="3"/>
  <c r="AQ98" i="3"/>
  <c r="AQ97" i="3"/>
  <c r="AQ94" i="3"/>
  <c r="AU95" i="3" s="1"/>
  <c r="AQ93" i="3"/>
  <c r="AQ91" i="3"/>
  <c r="AQ87" i="3"/>
  <c r="AQ85" i="3"/>
  <c r="AQ84" i="3"/>
  <c r="AQ81" i="3"/>
  <c r="AU82" i="3" s="1"/>
  <c r="AQ80" i="3"/>
  <c r="AQ78" i="3"/>
  <c r="AQ73" i="3"/>
  <c r="AQ71" i="3"/>
  <c r="AQ70" i="3"/>
  <c r="AQ67" i="3"/>
  <c r="AU68" i="3" s="1"/>
  <c r="AQ66" i="3"/>
  <c r="AQ64" i="3"/>
  <c r="AQ1" i="3"/>
  <c r="AQ122" i="6"/>
  <c r="AQ121" i="6"/>
  <c r="AQ108" i="6"/>
  <c r="AQ102" i="6"/>
  <c r="AQ100" i="6"/>
  <c r="AQ99" i="6"/>
  <c r="AQ94" i="6"/>
  <c r="AQ86" i="6"/>
  <c r="AQ84" i="6"/>
  <c r="AQ82" i="6"/>
  <c r="AR103" i="6" s="1"/>
  <c r="AQ81" i="6"/>
  <c r="AQ80" i="6"/>
  <c r="AQ75" i="6"/>
  <c r="AQ73" i="6"/>
  <c r="AQ70" i="6"/>
  <c r="AQ69" i="6"/>
  <c r="AQ66" i="6"/>
  <c r="AQ65" i="6"/>
  <c r="AQ17" i="6"/>
  <c r="AQ18" i="6" s="1"/>
  <c r="AQ6" i="6"/>
  <c r="AQ1" i="6"/>
  <c r="AQ28" i="2"/>
  <c r="AQ27" i="2"/>
  <c r="AQ24" i="2"/>
  <c r="AU25" i="2" s="1"/>
  <c r="AQ21" i="2"/>
  <c r="AU22" i="2" s="1"/>
  <c r="AQ19" i="2"/>
  <c r="AQ18" i="2"/>
  <c r="AQ16" i="2"/>
  <c r="AQ15" i="2"/>
  <c r="AQ1" i="2"/>
  <c r="AQ48" i="8"/>
  <c r="AQ47" i="8"/>
  <c r="AQ45" i="8"/>
  <c r="AQ44" i="8"/>
  <c r="AQ43" i="8"/>
  <c r="AQ42" i="8"/>
  <c r="AQ41" i="8"/>
  <c r="AQ40" i="8"/>
  <c r="AQ1" i="8"/>
  <c r="AQ20" i="8" s="1"/>
  <c r="AQ64" i="1"/>
  <c r="AQ62" i="1"/>
  <c r="AQ61" i="1"/>
  <c r="AQ47" i="1"/>
  <c r="AU67" i="1" s="1"/>
  <c r="AQ36" i="1"/>
  <c r="AQ35" i="1"/>
  <c r="AQ34" i="1"/>
  <c r="AQ33" i="1"/>
  <c r="AQ32" i="1"/>
  <c r="AQ31" i="1"/>
  <c r="AQ30" i="1"/>
  <c r="AQ22" i="1"/>
  <c r="AQ21" i="1"/>
  <c r="AQ20" i="1"/>
  <c r="AQ19" i="1"/>
  <c r="AQ18" i="1"/>
  <c r="AQ17" i="1"/>
  <c r="AQ16" i="1"/>
  <c r="AQ13" i="1"/>
  <c r="AQ10" i="1"/>
  <c r="AQ9" i="1"/>
  <c r="AQ8" i="1"/>
  <c r="AQ7" i="1"/>
  <c r="AQ6" i="1"/>
  <c r="AQ5" i="1"/>
  <c r="AQ4" i="1"/>
  <c r="AQ1" i="1"/>
  <c r="AQ134" i="11"/>
  <c r="AQ127" i="11"/>
  <c r="AQ126" i="11"/>
  <c r="AQ113" i="11"/>
  <c r="AQ111" i="11"/>
  <c r="AQ110" i="11"/>
  <c r="AQ109" i="11"/>
  <c r="AQ108" i="11"/>
  <c r="AQ106" i="11"/>
  <c r="AQ100" i="11"/>
  <c r="AQ87" i="11"/>
  <c r="AQ2" i="11"/>
  <c r="AQ1" i="11"/>
  <c r="AQ3" i="10"/>
  <c r="AQ1" i="10"/>
  <c r="AQ86" i="9"/>
  <c r="AQ84" i="9"/>
  <c r="AQ83" i="9"/>
  <c r="AQ81" i="9"/>
  <c r="AQ54" i="9"/>
  <c r="AQ48" i="9"/>
  <c r="AQ27" i="9"/>
  <c r="AQ18" i="9"/>
  <c r="AQ7" i="9"/>
  <c r="BE18" i="3"/>
  <c r="AP65" i="6"/>
  <c r="AP15" i="2"/>
  <c r="AP97" i="5"/>
  <c r="AP95" i="5"/>
  <c r="AP89" i="5"/>
  <c r="AP88" i="5"/>
  <c r="AP87" i="5"/>
  <c r="AP80" i="5"/>
  <c r="AP78" i="5"/>
  <c r="AP73" i="5"/>
  <c r="AP72" i="5"/>
  <c r="AP69" i="5"/>
  <c r="AP91" i="5" s="1"/>
  <c r="AT96" i="5" s="1"/>
  <c r="AP7" i="5"/>
  <c r="AP1" i="5"/>
  <c r="AP51" i="5" s="1"/>
  <c r="AP39" i="4"/>
  <c r="AP38" i="4"/>
  <c r="AP37" i="4"/>
  <c r="AP36" i="4"/>
  <c r="AP35" i="4"/>
  <c r="AP34" i="4"/>
  <c r="AP32" i="4"/>
  <c r="AP31" i="4"/>
  <c r="AP30" i="4"/>
  <c r="AP102" i="4"/>
  <c r="AP96" i="4"/>
  <c r="AP92" i="4"/>
  <c r="AP91" i="4"/>
  <c r="AP90" i="4"/>
  <c r="AP89" i="4"/>
  <c r="AP88" i="4"/>
  <c r="AP84" i="4"/>
  <c r="AP83" i="4"/>
  <c r="AP81" i="4"/>
  <c r="AP80" i="4"/>
  <c r="AP74" i="4"/>
  <c r="AP72" i="4"/>
  <c r="AP67" i="4"/>
  <c r="AP66" i="4"/>
  <c r="AP62" i="4"/>
  <c r="AT64" i="4" s="1"/>
  <c r="AP60" i="4"/>
  <c r="AP56" i="4"/>
  <c r="AP52" i="4"/>
  <c r="AP51" i="4"/>
  <c r="AP49" i="4"/>
  <c r="AP46" i="4"/>
  <c r="AT47" i="4" s="1"/>
  <c r="AP45" i="4"/>
  <c r="AP43" i="4"/>
  <c r="AP1" i="4"/>
  <c r="AP95" i="4" s="1"/>
  <c r="AP101" i="4" s="1"/>
  <c r="AP66" i="7"/>
  <c r="AP65" i="7"/>
  <c r="AP49" i="7"/>
  <c r="AP46" i="7"/>
  <c r="AP1" i="7"/>
  <c r="AP43" i="7" s="1"/>
  <c r="AP84" i="7" s="1"/>
  <c r="AP126" i="3"/>
  <c r="AP124" i="3"/>
  <c r="AP122" i="3"/>
  <c r="AP121" i="3"/>
  <c r="AP119" i="3"/>
  <c r="AP100" i="3"/>
  <c r="AP98" i="3"/>
  <c r="AP97" i="3"/>
  <c r="AP94" i="3"/>
  <c r="AT95" i="3" s="1"/>
  <c r="AP93" i="3"/>
  <c r="AP91" i="3"/>
  <c r="AP87" i="3"/>
  <c r="AP85" i="3"/>
  <c r="AP84" i="3"/>
  <c r="AP81" i="3"/>
  <c r="AT82" i="3" s="1"/>
  <c r="AP80" i="3"/>
  <c r="AP78" i="3"/>
  <c r="AP73" i="3"/>
  <c r="AP71" i="3"/>
  <c r="AP70" i="3"/>
  <c r="AP67" i="3"/>
  <c r="AT68" i="3" s="1"/>
  <c r="AP66" i="3"/>
  <c r="AP64" i="3"/>
  <c r="AP1" i="3"/>
  <c r="AP122" i="6"/>
  <c r="AP121" i="6"/>
  <c r="AP108" i="6"/>
  <c r="AP102" i="6"/>
  <c r="AP100" i="6"/>
  <c r="AP99" i="6"/>
  <c r="AP94" i="6"/>
  <c r="AP86" i="6"/>
  <c r="AP84" i="6"/>
  <c r="AP82" i="6"/>
  <c r="AP81" i="6"/>
  <c r="AP80" i="6"/>
  <c r="AP75" i="6"/>
  <c r="AP73" i="6"/>
  <c r="AP70" i="6"/>
  <c r="AP69" i="6"/>
  <c r="AP66" i="6"/>
  <c r="AP17" i="6"/>
  <c r="AP18" i="6" s="1"/>
  <c r="AT48" i="6" s="1"/>
  <c r="AP6" i="6"/>
  <c r="AP1" i="6"/>
  <c r="AO5" i="2"/>
  <c r="AP28" i="2"/>
  <c r="AP27" i="2"/>
  <c r="AP24" i="2"/>
  <c r="AT25" i="2" s="1"/>
  <c r="AP21" i="2"/>
  <c r="AT22" i="2" s="1"/>
  <c r="AP19" i="2"/>
  <c r="AP18" i="2"/>
  <c r="AP16" i="2"/>
  <c r="AP1" i="2"/>
  <c r="AP48" i="8"/>
  <c r="AP47" i="8"/>
  <c r="AP45" i="8"/>
  <c r="AP44" i="8"/>
  <c r="AP43" i="8"/>
  <c r="AP42" i="8"/>
  <c r="AP41" i="8"/>
  <c r="AP40" i="8"/>
  <c r="AP1" i="8"/>
  <c r="AP20" i="8" s="1"/>
  <c r="AP64" i="1"/>
  <c r="AP62" i="1"/>
  <c r="AP61" i="1"/>
  <c r="AP47" i="1"/>
  <c r="AT67" i="1" s="1"/>
  <c r="AP36" i="1"/>
  <c r="AP35" i="1"/>
  <c r="AP34" i="1"/>
  <c r="AP33" i="1"/>
  <c r="AP32" i="1"/>
  <c r="AP31" i="1"/>
  <c r="AP30" i="1"/>
  <c r="AP22" i="1"/>
  <c r="AP21" i="1"/>
  <c r="AP20" i="1"/>
  <c r="AP19" i="1"/>
  <c r="AP18" i="1"/>
  <c r="AP17" i="1"/>
  <c r="AP16" i="1"/>
  <c r="AP13" i="1"/>
  <c r="AP10" i="1"/>
  <c r="AP9" i="1"/>
  <c r="AP8" i="1"/>
  <c r="AP7" i="1"/>
  <c r="AP6" i="1"/>
  <c r="AP5" i="1"/>
  <c r="AP4" i="1"/>
  <c r="AP1" i="1"/>
  <c r="AP134" i="11"/>
  <c r="AP127" i="11"/>
  <c r="AP126" i="11"/>
  <c r="AP113" i="11"/>
  <c r="AP111" i="11"/>
  <c r="AP110" i="11"/>
  <c r="AP109" i="11"/>
  <c r="AP108" i="11"/>
  <c r="AP106" i="11"/>
  <c r="AP100" i="11"/>
  <c r="AP87" i="11"/>
  <c r="AP2" i="11"/>
  <c r="AP1" i="11"/>
  <c r="AP80" i="11" s="1"/>
  <c r="AP103" i="11" s="1"/>
  <c r="AP121" i="11" s="1"/>
  <c r="AP3" i="10"/>
  <c r="AP1" i="10"/>
  <c r="AP86" i="9"/>
  <c r="AP84" i="9"/>
  <c r="AP83" i="9"/>
  <c r="AP81" i="9"/>
  <c r="AP48" i="9"/>
  <c r="AP27" i="9"/>
  <c r="AP18" i="9"/>
  <c r="AP7" i="9"/>
  <c r="AP54" i="9"/>
  <c r="AA505" i="12"/>
  <c r="AU504" i="12"/>
  <c r="AU503" i="12" s="1"/>
  <c r="AT503" i="12" s="1"/>
  <c r="AA491" i="12"/>
  <c r="AU490" i="12"/>
  <c r="AA486" i="12"/>
  <c r="AA485" i="12"/>
  <c r="AU484" i="12"/>
  <c r="AU483" i="12" s="1"/>
  <c r="AT483" i="12" s="1"/>
  <c r="AA475" i="12"/>
  <c r="AA474" i="12"/>
  <c r="AU473" i="12"/>
  <c r="AU472" i="12" s="1"/>
  <c r="AT472" i="12" s="1"/>
  <c r="AA469" i="12"/>
  <c r="AA468" i="12"/>
  <c r="AA467" i="12"/>
  <c r="AA466" i="12"/>
  <c r="AA465" i="12"/>
  <c r="AU464" i="12"/>
  <c r="AU463" i="12" s="1"/>
  <c r="AT463" i="12" s="1"/>
  <c r="AA452" i="12"/>
  <c r="AU451" i="12"/>
  <c r="AU450" i="12" s="1"/>
  <c r="AT450" i="12" s="1"/>
  <c r="AA447" i="12"/>
  <c r="AA446" i="12"/>
  <c r="AA432" i="12"/>
  <c r="AU431" i="12"/>
  <c r="AU430" i="12" s="1"/>
  <c r="AT430" i="12" s="1"/>
  <c r="AA426" i="12"/>
  <c r="AU445" i="12"/>
  <c r="AU444" i="12" s="1"/>
  <c r="AT444" i="12" s="1"/>
  <c r="AU425" i="12"/>
  <c r="AU424" i="12" s="1"/>
  <c r="AT424" i="12" s="1"/>
  <c r="AA408" i="12"/>
  <c r="AU407" i="12"/>
  <c r="AU406" i="12" s="1"/>
  <c r="AT406" i="12" s="1"/>
  <c r="AA396" i="12"/>
  <c r="AA395" i="12"/>
  <c r="AA394" i="12"/>
  <c r="AU393" i="12"/>
  <c r="AU392" i="12" s="1"/>
  <c r="AT392" i="12" s="1"/>
  <c r="AA389" i="12"/>
  <c r="AA388" i="12"/>
  <c r="AA387" i="12"/>
  <c r="AU386" i="12"/>
  <c r="AU385" i="12" s="1"/>
  <c r="AT385" i="12" s="1"/>
  <c r="AA367" i="12"/>
  <c r="AA366" i="12"/>
  <c r="AU365" i="12"/>
  <c r="AU364" i="12" s="1"/>
  <c r="AT364" i="12" s="1"/>
  <c r="AA349" i="12"/>
  <c r="AA348" i="12"/>
  <c r="AU347" i="12"/>
  <c r="AU346" i="12" s="1"/>
  <c r="AT346" i="12" s="1"/>
  <c r="AA329" i="12"/>
  <c r="AA328" i="12"/>
  <c r="AU327" i="12"/>
  <c r="AU326" i="12" s="1"/>
  <c r="AT326" i="12" s="1"/>
  <c r="AA316" i="12"/>
  <c r="AA317" i="12"/>
  <c r="AA315" i="12"/>
  <c r="AU314" i="12"/>
  <c r="AA308" i="12"/>
  <c r="AA307" i="12"/>
  <c r="AA306" i="12"/>
  <c r="AU305" i="12"/>
  <c r="AA296" i="12"/>
  <c r="AA295" i="12"/>
  <c r="AA294" i="12"/>
  <c r="AU293" i="12"/>
  <c r="AU292" i="12" s="1"/>
  <c r="AT292" i="12" s="1"/>
  <c r="AA290" i="12"/>
  <c r="AA289" i="12"/>
  <c r="AA288" i="12"/>
  <c r="AU287" i="12"/>
  <c r="AU286" i="12" s="1"/>
  <c r="AT286" i="12" s="1"/>
  <c r="AA276" i="12"/>
  <c r="AA275" i="12"/>
  <c r="AU274" i="12"/>
  <c r="AU273" i="12" s="1"/>
  <c r="AT273" i="12" s="1"/>
  <c r="AA270" i="12"/>
  <c r="AA269" i="12"/>
  <c r="AA268" i="12"/>
  <c r="AU267" i="12"/>
  <c r="AU266" i="12" s="1"/>
  <c r="AT266" i="12" s="1"/>
  <c r="AA247" i="12"/>
  <c r="AA235" i="12"/>
  <c r="AA234" i="12"/>
  <c r="AA229" i="12"/>
  <c r="AA228" i="12"/>
  <c r="AU233" i="12"/>
  <c r="AU232" i="12" s="1"/>
  <c r="AT232" i="12" s="1"/>
  <c r="AU227" i="12"/>
  <c r="AU226" i="12" s="1"/>
  <c r="AT226" i="12" s="1"/>
  <c r="AA253" i="12"/>
  <c r="AU252" i="12"/>
  <c r="AU246" i="12"/>
  <c r="AU245" i="12" s="1"/>
  <c r="AT245" i="12" s="1"/>
  <c r="AA212" i="12"/>
  <c r="AA206" i="12"/>
  <c r="AU211" i="12"/>
  <c r="AU210" i="12" s="1"/>
  <c r="AT210" i="12" s="1"/>
  <c r="AU205" i="12"/>
  <c r="AU204" i="12" s="1"/>
  <c r="AT204" i="12" s="1"/>
  <c r="AA192" i="12"/>
  <c r="AA186" i="12"/>
  <c r="AU191" i="12"/>
  <c r="AU185" i="12"/>
  <c r="AU184" i="12" s="1"/>
  <c r="AT184" i="12" s="1"/>
  <c r="AA172" i="12"/>
  <c r="AA166" i="12"/>
  <c r="AU171" i="12"/>
  <c r="AU170" i="12" s="1"/>
  <c r="AT170" i="12" s="1"/>
  <c r="AU165" i="12"/>
  <c r="AU164" i="12" s="1"/>
  <c r="AT164" i="12" s="1"/>
  <c r="AA153" i="12"/>
  <c r="AA152" i="12"/>
  <c r="AU151" i="12"/>
  <c r="AU150" i="12" s="1"/>
  <c r="AT150" i="12" s="1"/>
  <c r="AA147" i="12"/>
  <c r="AA146" i="12"/>
  <c r="AU145" i="12"/>
  <c r="AU144" i="12" s="1"/>
  <c r="AT144" i="12" s="1"/>
  <c r="AA132" i="12"/>
  <c r="AA126" i="12"/>
  <c r="AU131" i="12"/>
  <c r="AU130" i="12" s="1"/>
  <c r="AT130" i="12" s="1"/>
  <c r="AU125" i="12"/>
  <c r="AU124" i="12" s="1"/>
  <c r="AT124" i="12" s="1"/>
  <c r="AA112" i="12"/>
  <c r="AU111" i="12"/>
  <c r="AU110" i="12" s="1"/>
  <c r="AT110" i="12" s="1"/>
  <c r="AA106" i="12"/>
  <c r="AU105" i="12"/>
  <c r="AU104" i="12" s="1"/>
  <c r="AT104" i="12" s="1"/>
  <c r="AA92" i="12"/>
  <c r="AA91" i="12"/>
  <c r="AA85" i="12"/>
  <c r="AU90" i="12"/>
  <c r="AU89" i="12" s="1"/>
  <c r="AT89" i="12" s="1"/>
  <c r="AU84" i="12"/>
  <c r="AU83" i="12" s="1"/>
  <c r="AT83" i="12" s="1"/>
  <c r="AA69" i="12"/>
  <c r="AU68" i="12"/>
  <c r="AU67" i="12" s="1"/>
  <c r="AT67" i="12" s="1"/>
  <c r="AA64" i="12"/>
  <c r="AA63" i="12"/>
  <c r="AU62" i="12"/>
  <c r="AU61" i="12" s="1"/>
  <c r="AT61" i="12" s="1"/>
  <c r="AH50" i="12"/>
  <c r="AH49" i="12"/>
  <c r="AH48" i="12"/>
  <c r="AH47" i="12"/>
  <c r="AH46" i="12"/>
  <c r="AH45" i="12"/>
  <c r="AH44" i="12"/>
  <c r="AA50" i="12"/>
  <c r="AA49" i="12"/>
  <c r="AA48" i="12"/>
  <c r="AA47" i="12"/>
  <c r="AA46" i="12"/>
  <c r="AA45" i="12"/>
  <c r="AA44" i="12"/>
  <c r="AI43" i="12"/>
  <c r="AI42" i="12" s="1"/>
  <c r="AB43" i="12"/>
  <c r="AA29" i="12"/>
  <c r="AU28" i="12"/>
  <c r="AU27" i="12" s="1"/>
  <c r="AT27" i="12" s="1"/>
  <c r="AA23" i="12"/>
  <c r="AA22" i="12"/>
  <c r="AO1" i="11"/>
  <c r="AN1" i="11"/>
  <c r="AM1" i="11"/>
  <c r="AL1" i="11"/>
  <c r="AK1" i="11"/>
  <c r="AJ1" i="11"/>
  <c r="AI1" i="11"/>
  <c r="AH1" i="11"/>
  <c r="AG1" i="11"/>
  <c r="AF1" i="11"/>
  <c r="AE1" i="11"/>
  <c r="AD1" i="11"/>
  <c r="AC1" i="11"/>
  <c r="AB1" i="11"/>
  <c r="AA1" i="11"/>
  <c r="Z1" i="11"/>
  <c r="Y1" i="11"/>
  <c r="X1" i="11"/>
  <c r="W1" i="11"/>
  <c r="V1" i="11"/>
  <c r="U1" i="11"/>
  <c r="T1" i="11"/>
  <c r="S1" i="11"/>
  <c r="R1" i="11"/>
  <c r="Q1" i="11"/>
  <c r="P1" i="11"/>
  <c r="O1" i="11"/>
  <c r="N1" i="11"/>
  <c r="M1" i="11"/>
  <c r="L1" i="11"/>
  <c r="K1" i="11"/>
  <c r="J1" i="11"/>
  <c r="I1" i="11"/>
  <c r="H1" i="11"/>
  <c r="G1" i="11"/>
  <c r="F1" i="11"/>
  <c r="E1" i="11"/>
  <c r="AO1" i="10"/>
  <c r="AN1" i="10"/>
  <c r="AM1" i="10"/>
  <c r="AL1" i="10"/>
  <c r="AK1" i="10"/>
  <c r="AJ1" i="10"/>
  <c r="AI1" i="10"/>
  <c r="AH1" i="10"/>
  <c r="AG1" i="10"/>
  <c r="AF1" i="10"/>
  <c r="AE1" i="10"/>
  <c r="AD1" i="10"/>
  <c r="AC1" i="10"/>
  <c r="AB1" i="10"/>
  <c r="AA1" i="10"/>
  <c r="Z1" i="10"/>
  <c r="Y1" i="10"/>
  <c r="X1" i="10"/>
  <c r="W1" i="10"/>
  <c r="V1" i="10"/>
  <c r="U1" i="10"/>
  <c r="T1" i="10"/>
  <c r="S1" i="10"/>
  <c r="R1" i="10"/>
  <c r="Q1" i="10"/>
  <c r="P1" i="10"/>
  <c r="O1" i="10"/>
  <c r="N1" i="10"/>
  <c r="M1" i="10"/>
  <c r="L1" i="10"/>
  <c r="K1" i="10"/>
  <c r="J1" i="10"/>
  <c r="I1" i="10"/>
  <c r="H1" i="10"/>
  <c r="G1" i="10"/>
  <c r="F1" i="10"/>
  <c r="E1" i="10"/>
  <c r="AU21" i="12"/>
  <c r="AU20" i="12" s="1"/>
  <c r="D93" i="14"/>
  <c r="D92" i="14"/>
  <c r="D91" i="14"/>
  <c r="D90" i="14"/>
  <c r="D89" i="14"/>
  <c r="D88" i="14"/>
  <c r="D87" i="14"/>
  <c r="D86" i="14"/>
  <c r="D85" i="14"/>
  <c r="D84" i="14"/>
  <c r="D83" i="14"/>
  <c r="D82" i="14"/>
  <c r="D81" i="14"/>
  <c r="D80" i="14"/>
  <c r="D79" i="14"/>
  <c r="D78" i="14"/>
  <c r="D77" i="14"/>
  <c r="D76" i="14"/>
  <c r="D75" i="14"/>
  <c r="D74" i="14"/>
  <c r="D73" i="14"/>
  <c r="D72" i="14"/>
  <c r="D71" i="14"/>
  <c r="D70" i="14"/>
  <c r="D69" i="14"/>
  <c r="D68" i="14"/>
  <c r="D67" i="14"/>
  <c r="D66" i="14"/>
  <c r="D65" i="14"/>
  <c r="D64" i="14"/>
  <c r="D63" i="14"/>
  <c r="D62" i="14"/>
  <c r="D61" i="14"/>
  <c r="D60" i="14"/>
  <c r="D59" i="14"/>
  <c r="D58" i="14"/>
  <c r="D57" i="14"/>
  <c r="D56" i="14"/>
  <c r="D55" i="14"/>
  <c r="D54" i="14"/>
  <c r="D53" i="14"/>
  <c r="D52" i="14"/>
  <c r="D51" i="14"/>
  <c r="D50" i="14"/>
  <c r="D49" i="14"/>
  <c r="D48" i="14"/>
  <c r="D47" i="14"/>
  <c r="D46" i="14"/>
  <c r="D45" i="14"/>
  <c r="D44" i="14"/>
  <c r="D43" i="14"/>
  <c r="D42" i="14"/>
  <c r="D41" i="14"/>
  <c r="D40" i="14"/>
  <c r="D39" i="14"/>
  <c r="D38" i="14"/>
  <c r="D37" i="14"/>
  <c r="D36" i="14"/>
  <c r="D35" i="14"/>
  <c r="D34" i="14"/>
  <c r="D33" i="14"/>
  <c r="D32" i="14"/>
  <c r="D31" i="14"/>
  <c r="D30" i="14"/>
  <c r="D29" i="14"/>
  <c r="D28" i="14"/>
  <c r="D27" i="14"/>
  <c r="D26" i="14"/>
  <c r="D25" i="14"/>
  <c r="D24" i="14"/>
  <c r="D23" i="14"/>
  <c r="D22" i="14"/>
  <c r="D21" i="14"/>
  <c r="D20" i="14"/>
  <c r="D19" i="14"/>
  <c r="D18" i="14"/>
  <c r="D17" i="14"/>
  <c r="D16" i="14"/>
  <c r="D15" i="14"/>
  <c r="D14" i="14"/>
  <c r="D13" i="14"/>
  <c r="D12" i="14"/>
  <c r="D11" i="14"/>
  <c r="D10" i="14"/>
  <c r="D9" i="14"/>
  <c r="D8" i="14"/>
  <c r="D7" i="14"/>
  <c r="D6" i="14"/>
  <c r="D5" i="14"/>
  <c r="D4" i="14"/>
  <c r="D3" i="14"/>
  <c r="D2" i="14"/>
  <c r="Q50" i="15" l="1"/>
  <c r="M109" i="15"/>
  <c r="Q41" i="15"/>
  <c r="M121" i="15"/>
  <c r="Q17" i="15"/>
  <c r="M110" i="15"/>
  <c r="Q19" i="15"/>
  <c r="M111" i="15"/>
  <c r="Q12" i="15"/>
  <c r="M107" i="15"/>
  <c r="Q32" i="15"/>
  <c r="M116" i="15"/>
  <c r="Q8" i="15"/>
  <c r="M105" i="15"/>
  <c r="Q43" i="15"/>
  <c r="M122" i="15"/>
  <c r="Q36" i="15"/>
  <c r="M118" i="15"/>
  <c r="Q10" i="15"/>
  <c r="M106" i="15"/>
  <c r="Q38" i="15"/>
  <c r="M119" i="15"/>
  <c r="M108" i="15"/>
  <c r="AV57" i="1"/>
  <c r="M46" i="15"/>
  <c r="Q47" i="15" s="1"/>
  <c r="M26" i="15"/>
  <c r="M20" i="15"/>
  <c r="Q23" i="15"/>
  <c r="M76" i="15"/>
  <c r="M79" i="15"/>
  <c r="M77" i="15"/>
  <c r="Q34" i="15"/>
  <c r="M78" i="15"/>
  <c r="Q14" i="15"/>
  <c r="K18" i="15"/>
  <c r="L66" i="15"/>
  <c r="K66" i="15"/>
  <c r="L7" i="15"/>
  <c r="L31" i="15"/>
  <c r="K9" i="15"/>
  <c r="K33" i="15"/>
  <c r="L11" i="15"/>
  <c r="L35" i="15"/>
  <c r="K42" i="15"/>
  <c r="K49" i="15" s="1"/>
  <c r="K11" i="15"/>
  <c r="K35" i="15"/>
  <c r="L13" i="15"/>
  <c r="L37" i="15"/>
  <c r="M82" i="15"/>
  <c r="L9" i="15"/>
  <c r="K13" i="15"/>
  <c r="K37" i="15"/>
  <c r="L15" i="15"/>
  <c r="L39" i="15"/>
  <c r="L120" i="15" s="1"/>
  <c r="M81" i="15"/>
  <c r="K15" i="15"/>
  <c r="K39" i="15"/>
  <c r="K120" i="15" s="1"/>
  <c r="L16" i="15"/>
  <c r="L40" i="15"/>
  <c r="K7" i="15"/>
  <c r="K31" i="15"/>
  <c r="K116" i="15" s="1"/>
  <c r="L33" i="15"/>
  <c r="L117" i="15" s="1"/>
  <c r="K16" i="15"/>
  <c r="K40" i="15"/>
  <c r="L18" i="15"/>
  <c r="L42" i="15"/>
  <c r="L49" i="15" s="1"/>
  <c r="L2" i="15"/>
  <c r="L22" i="15"/>
  <c r="L113" i="15" s="1"/>
  <c r="M63" i="15"/>
  <c r="M73" i="15"/>
  <c r="K2" i="15"/>
  <c r="K22" i="15"/>
  <c r="K113" i="15" s="1"/>
  <c r="M69" i="15"/>
  <c r="CA5" i="1"/>
  <c r="CA6" i="1"/>
  <c r="CA4" i="1"/>
  <c r="AP11" i="1"/>
  <c r="CA11" i="1" s="1"/>
  <c r="AT131" i="11"/>
  <c r="CB6" i="1"/>
  <c r="CA7" i="1"/>
  <c r="CA8" i="1"/>
  <c r="CA9" i="1"/>
  <c r="CA10" i="1"/>
  <c r="CB5" i="1"/>
  <c r="CB7" i="1"/>
  <c r="CB8" i="1"/>
  <c r="CB9" i="1"/>
  <c r="CB10" i="1"/>
  <c r="CB4" i="1"/>
  <c r="AP116" i="3"/>
  <c r="AP51" i="3"/>
  <c r="AQ116" i="3"/>
  <c r="AQ51" i="3"/>
  <c r="AQ50" i="1"/>
  <c r="AQ30" i="2"/>
  <c r="AS79" i="9"/>
  <c r="AV78" i="9"/>
  <c r="AP50" i="1"/>
  <c r="AP30" i="2"/>
  <c r="AU53" i="1"/>
  <c r="AS59" i="1"/>
  <c r="AV58" i="1"/>
  <c r="AR49" i="6"/>
  <c r="AU48" i="6"/>
  <c r="AQ123" i="11"/>
  <c r="AU131" i="11"/>
  <c r="AQ87" i="9"/>
  <c r="AU59" i="9"/>
  <c r="AR26" i="8"/>
  <c r="AV34" i="8" s="1"/>
  <c r="AQ45" i="6"/>
  <c r="AQ68" i="6" s="1"/>
  <c r="AQ79" i="6" s="1"/>
  <c r="AQ130" i="6"/>
  <c r="AP120" i="6"/>
  <c r="AP130" i="6"/>
  <c r="AR25" i="8"/>
  <c r="AV33" i="8" s="1"/>
  <c r="AR24" i="8"/>
  <c r="AV32" i="8" s="1"/>
  <c r="AR29" i="8"/>
  <c r="AV37" i="8" s="1"/>
  <c r="AR28" i="8"/>
  <c r="AV36" i="8" s="1"/>
  <c r="AP118" i="3"/>
  <c r="AT53" i="1"/>
  <c r="AP67" i="9"/>
  <c r="AT75" i="9" s="1"/>
  <c r="AT59" i="9"/>
  <c r="AS97" i="4"/>
  <c r="AQ45" i="1"/>
  <c r="AR115" i="11"/>
  <c r="AR118" i="11" s="1"/>
  <c r="AR60" i="9"/>
  <c r="AQ61" i="3"/>
  <c r="AQ76" i="3" s="1"/>
  <c r="AQ89" i="3" s="1"/>
  <c r="AQ54" i="1"/>
  <c r="AR54" i="1"/>
  <c r="AQ44" i="1"/>
  <c r="AQ102" i="3"/>
  <c r="AQ49" i="6"/>
  <c r="AQ103" i="6"/>
  <c r="AP44" i="1"/>
  <c r="AQ118" i="3"/>
  <c r="AQ86" i="5"/>
  <c r="AQ13" i="2"/>
  <c r="AQ80" i="11"/>
  <c r="AQ103" i="11" s="1"/>
  <c r="AQ121" i="11" s="1"/>
  <c r="AQ46" i="1"/>
  <c r="AQ79" i="4"/>
  <c r="AQ43" i="1"/>
  <c r="AQ56" i="1"/>
  <c r="AQ71" i="4"/>
  <c r="AQ133" i="11"/>
  <c r="AQ58" i="4"/>
  <c r="AQ70" i="5"/>
  <c r="AU74" i="5" s="1"/>
  <c r="AQ95" i="4"/>
  <c r="AQ101" i="4" s="1"/>
  <c r="AQ63" i="7"/>
  <c r="AQ68" i="7"/>
  <c r="AQ79" i="7"/>
  <c r="AQ37" i="1"/>
  <c r="AQ11" i="1"/>
  <c r="CB11" i="1" s="1"/>
  <c r="AQ5" i="8"/>
  <c r="AQ27" i="8" s="1"/>
  <c r="AU35" i="8" s="1"/>
  <c r="AQ107" i="6"/>
  <c r="AQ120" i="6"/>
  <c r="AQ42" i="1"/>
  <c r="AQ23" i="1"/>
  <c r="AQ65" i="1"/>
  <c r="AQ115" i="11"/>
  <c r="AQ118" i="11" s="1"/>
  <c r="AQ124" i="11"/>
  <c r="AQ66" i="9"/>
  <c r="AU74" i="9" s="1"/>
  <c r="AQ67" i="9"/>
  <c r="AU75" i="9" s="1"/>
  <c r="AQ68" i="9"/>
  <c r="AU76" i="9" s="1"/>
  <c r="AQ60" i="9"/>
  <c r="AQ63" i="9"/>
  <c r="AU71" i="9" s="1"/>
  <c r="AQ64" i="9"/>
  <c r="AU72" i="9" s="1"/>
  <c r="AQ21" i="9"/>
  <c r="AQ22" i="9" s="1"/>
  <c r="AU23" i="9" s="1"/>
  <c r="AQ65" i="9"/>
  <c r="AU73" i="9" s="1"/>
  <c r="AP68" i="9"/>
  <c r="AT76" i="9" s="1"/>
  <c r="AP64" i="9"/>
  <c r="AT72" i="9" s="1"/>
  <c r="AP21" i="9"/>
  <c r="AP66" i="9"/>
  <c r="AT74" i="9" s="1"/>
  <c r="AP58" i="4"/>
  <c r="AP65" i="9"/>
  <c r="AT73" i="9" s="1"/>
  <c r="AP87" i="9"/>
  <c r="AP63" i="9"/>
  <c r="AT71" i="9" s="1"/>
  <c r="AP13" i="2"/>
  <c r="AP41" i="4"/>
  <c r="AP54" i="4" s="1"/>
  <c r="AP69" i="4" s="1"/>
  <c r="AP61" i="3"/>
  <c r="AP76" i="3" s="1"/>
  <c r="AP89" i="3" s="1"/>
  <c r="AP102" i="3"/>
  <c r="AP107" i="6"/>
  <c r="AP71" i="4"/>
  <c r="AP76" i="5"/>
  <c r="AP86" i="5"/>
  <c r="AP70" i="5"/>
  <c r="AT74" i="5" s="1"/>
  <c r="AP79" i="4"/>
  <c r="AP45" i="1"/>
  <c r="AP46" i="1"/>
  <c r="AP63" i="7"/>
  <c r="AP68" i="7"/>
  <c r="AP79" i="7"/>
  <c r="AP43" i="1"/>
  <c r="AP45" i="6"/>
  <c r="AP68" i="6" s="1"/>
  <c r="AP79" i="6" s="1"/>
  <c r="AP37" i="1"/>
  <c r="AP5" i="8"/>
  <c r="AP26" i="8" s="1"/>
  <c r="AT34" i="8" s="1"/>
  <c r="AP42" i="1"/>
  <c r="AP56" i="1"/>
  <c r="AP133" i="11"/>
  <c r="AP23" i="1"/>
  <c r="AP65" i="1"/>
  <c r="AP124" i="11"/>
  <c r="AP123" i="11"/>
  <c r="AB42" i="12"/>
  <c r="AU22" i="12"/>
  <c r="AU85" i="12"/>
  <c r="AU91" i="12"/>
  <c r="AS503" i="12"/>
  <c r="AT504" i="12"/>
  <c r="AU489" i="12"/>
  <c r="AT489" i="12" s="1"/>
  <c r="AS483" i="12"/>
  <c r="AT484" i="12"/>
  <c r="AS472" i="12"/>
  <c r="AT473" i="12"/>
  <c r="AS463" i="12"/>
  <c r="AT464" i="12"/>
  <c r="AS450" i="12"/>
  <c r="AT451" i="12"/>
  <c r="AS430" i="12"/>
  <c r="AT431" i="12"/>
  <c r="AS444" i="12"/>
  <c r="AT445" i="12"/>
  <c r="AS424" i="12"/>
  <c r="AT425" i="12"/>
  <c r="AS406" i="12"/>
  <c r="AT407" i="12"/>
  <c r="AT393" i="12"/>
  <c r="AS392" i="12"/>
  <c r="AS385" i="12"/>
  <c r="AT386" i="12"/>
  <c r="AS364" i="12"/>
  <c r="AT365" i="12"/>
  <c r="AS346" i="12"/>
  <c r="AT347" i="12"/>
  <c r="AT327" i="12"/>
  <c r="AS326" i="12"/>
  <c r="AU313" i="12"/>
  <c r="AT313" i="12" s="1"/>
  <c r="AU304" i="12"/>
  <c r="AT304" i="12" s="1"/>
  <c r="AT293" i="12"/>
  <c r="AS292" i="12"/>
  <c r="AS286" i="12"/>
  <c r="AT287" i="12"/>
  <c r="AT274" i="12"/>
  <c r="AS273" i="12"/>
  <c r="AS266" i="12"/>
  <c r="AT267" i="12"/>
  <c r="AS232" i="12"/>
  <c r="AT233" i="12"/>
  <c r="AS226" i="12"/>
  <c r="AT227" i="12"/>
  <c r="AS245" i="12"/>
  <c r="AT246" i="12"/>
  <c r="AU251" i="12"/>
  <c r="AT251" i="12" s="1"/>
  <c r="AS204" i="12"/>
  <c r="AT205" i="12"/>
  <c r="AS210" i="12"/>
  <c r="AT211" i="12"/>
  <c r="AS184" i="12"/>
  <c r="AT185" i="12"/>
  <c r="AU190" i="12"/>
  <c r="AT190" i="12" s="1"/>
  <c r="AS170" i="12"/>
  <c r="AT171" i="12"/>
  <c r="AS164" i="12"/>
  <c r="AT165" i="12"/>
  <c r="AT151" i="12"/>
  <c r="AS150" i="12"/>
  <c r="AS144" i="12"/>
  <c r="AT145" i="12"/>
  <c r="AS124" i="12"/>
  <c r="AT125" i="12"/>
  <c r="AS130" i="12"/>
  <c r="AT131" i="12"/>
  <c r="AS110" i="12"/>
  <c r="AT111" i="12"/>
  <c r="AS104" i="12"/>
  <c r="AT105" i="12"/>
  <c r="AT90" i="12"/>
  <c r="AS89" i="12"/>
  <c r="AS83" i="12"/>
  <c r="AT84" i="12"/>
  <c r="AT85" i="12" s="1"/>
  <c r="AS67" i="12"/>
  <c r="AT68" i="12"/>
  <c r="AT62" i="12"/>
  <c r="AS61" i="12"/>
  <c r="AT28" i="12"/>
  <c r="AS27" i="12"/>
  <c r="AT20" i="12"/>
  <c r="AT21" i="12" s="1"/>
  <c r="AT22" i="12" s="1"/>
  <c r="M51" i="15" l="1"/>
  <c r="O50" i="15"/>
  <c r="P50" i="15"/>
  <c r="M112" i="15"/>
  <c r="L109" i="15"/>
  <c r="O34" i="15"/>
  <c r="K117" i="15"/>
  <c r="O41" i="15"/>
  <c r="K121" i="15"/>
  <c r="K109" i="15"/>
  <c r="P38" i="15"/>
  <c r="L119" i="15"/>
  <c r="O10" i="15"/>
  <c r="K106" i="15"/>
  <c r="P19" i="15"/>
  <c r="L111" i="15"/>
  <c r="O17" i="15"/>
  <c r="K110" i="15"/>
  <c r="P14" i="15"/>
  <c r="L108" i="15"/>
  <c r="P32" i="15"/>
  <c r="L116" i="15"/>
  <c r="O36" i="15"/>
  <c r="K118" i="15"/>
  <c r="P8" i="15"/>
  <c r="L105" i="15"/>
  <c r="O12" i="15"/>
  <c r="K107" i="15"/>
  <c r="O8" i="15"/>
  <c r="K105" i="15"/>
  <c r="O38" i="15"/>
  <c r="K119" i="15"/>
  <c r="O43" i="15"/>
  <c r="K122" i="15"/>
  <c r="P41" i="15"/>
  <c r="L121" i="15"/>
  <c r="K108" i="15"/>
  <c r="P36" i="15"/>
  <c r="L118" i="15"/>
  <c r="O19" i="15"/>
  <c r="K111" i="15"/>
  <c r="P43" i="15"/>
  <c r="L122" i="15"/>
  <c r="P17" i="15"/>
  <c r="L110" i="15"/>
  <c r="P10" i="15"/>
  <c r="L106" i="15"/>
  <c r="P12" i="15"/>
  <c r="L107" i="15"/>
  <c r="AT58" i="1"/>
  <c r="AT57" i="1"/>
  <c r="AU57" i="1"/>
  <c r="P23" i="15"/>
  <c r="L20" i="15"/>
  <c r="L26" i="15"/>
  <c r="Q27" i="15"/>
  <c r="O23" i="15"/>
  <c r="K26" i="15"/>
  <c r="K20" i="15"/>
  <c r="K79" i="15"/>
  <c r="L78" i="15"/>
  <c r="O14" i="15"/>
  <c r="L77" i="15"/>
  <c r="K76" i="15"/>
  <c r="K78" i="15"/>
  <c r="L81" i="15"/>
  <c r="L76" i="15"/>
  <c r="L82" i="15"/>
  <c r="L69" i="15"/>
  <c r="P34" i="15"/>
  <c r="K81" i="15"/>
  <c r="K82" i="15"/>
  <c r="O32" i="15"/>
  <c r="K77" i="15"/>
  <c r="L79" i="15"/>
  <c r="L46" i="15"/>
  <c r="K63" i="15"/>
  <c r="K73" i="15"/>
  <c r="K69" i="15"/>
  <c r="K46" i="15"/>
  <c r="L63" i="15"/>
  <c r="L73" i="15"/>
  <c r="AT78" i="9"/>
  <c r="AP22" i="9"/>
  <c r="AT23" i="9" s="1"/>
  <c r="AR79" i="9"/>
  <c r="AU78" i="9"/>
  <c r="AR59" i="1"/>
  <c r="AU58" i="1"/>
  <c r="AQ59" i="1"/>
  <c r="AQ25" i="8"/>
  <c r="AU33" i="8" s="1"/>
  <c r="AQ29" i="8"/>
  <c r="AU37" i="8" s="1"/>
  <c r="AQ26" i="8"/>
  <c r="AU34" i="8" s="1"/>
  <c r="AQ28" i="8"/>
  <c r="AU36" i="8" s="1"/>
  <c r="AQ24" i="8"/>
  <c r="AU32" i="8" s="1"/>
  <c r="AQ79" i="9"/>
  <c r="AP25" i="8"/>
  <c r="AT33" i="8" s="1"/>
  <c r="AP24" i="8"/>
  <c r="AT32" i="8" s="1"/>
  <c r="AP29" i="8"/>
  <c r="AT37" i="8" s="1"/>
  <c r="AP28" i="8"/>
  <c r="AT36" i="8" s="1"/>
  <c r="AP27" i="8"/>
  <c r="AT35" i="8" s="1"/>
  <c r="AR503" i="12"/>
  <c r="AS504" i="12"/>
  <c r="AS489" i="12"/>
  <c r="AT490" i="12"/>
  <c r="AR483" i="12"/>
  <c r="AS484" i="12"/>
  <c r="AR472" i="12"/>
  <c r="AS473" i="12"/>
  <c r="AR463" i="12"/>
  <c r="AS464" i="12"/>
  <c r="AR450" i="12"/>
  <c r="AS451" i="12"/>
  <c r="AR430" i="12"/>
  <c r="AS431" i="12"/>
  <c r="AR444" i="12"/>
  <c r="AS445" i="12"/>
  <c r="AR424" i="12"/>
  <c r="AS425" i="12"/>
  <c r="AR406" i="12"/>
  <c r="AS407" i="12"/>
  <c r="AS393" i="12"/>
  <c r="AR392" i="12"/>
  <c r="AR385" i="12"/>
  <c r="AS386" i="12"/>
  <c r="AR364" i="12"/>
  <c r="AS365" i="12"/>
  <c r="AR346" i="12"/>
  <c r="AS347" i="12"/>
  <c r="AR326" i="12"/>
  <c r="AS327" i="12"/>
  <c r="AS313" i="12"/>
  <c r="AT314" i="12"/>
  <c r="AT305" i="12"/>
  <c r="AS304" i="12"/>
  <c r="AS293" i="12"/>
  <c r="AR292" i="12"/>
  <c r="AR286" i="12"/>
  <c r="AS287" i="12"/>
  <c r="AR273" i="12"/>
  <c r="AS274" i="12"/>
  <c r="AR266" i="12"/>
  <c r="AS267" i="12"/>
  <c r="AR232" i="12"/>
  <c r="AS233" i="12"/>
  <c r="AR226" i="12"/>
  <c r="AS227" i="12"/>
  <c r="AR245" i="12"/>
  <c r="AS246" i="12"/>
  <c r="AS251" i="12"/>
  <c r="AT252" i="12"/>
  <c r="AR210" i="12"/>
  <c r="AS211" i="12"/>
  <c r="AR204" i="12"/>
  <c r="AS205" i="12"/>
  <c r="AR184" i="12"/>
  <c r="AS185" i="12"/>
  <c r="AS190" i="12"/>
  <c r="AT191" i="12"/>
  <c r="AR170" i="12"/>
  <c r="AS171" i="12"/>
  <c r="AR164" i="12"/>
  <c r="AS165" i="12"/>
  <c r="AS151" i="12"/>
  <c r="AR150" i="12"/>
  <c r="AR144" i="12"/>
  <c r="AS145" i="12"/>
  <c r="AR130" i="12"/>
  <c r="AS131" i="12"/>
  <c r="AR124" i="12"/>
  <c r="AS125" i="12"/>
  <c r="AR110" i="12"/>
  <c r="AS111" i="12"/>
  <c r="AR104" i="12"/>
  <c r="AS105" i="12"/>
  <c r="AT91" i="12"/>
  <c r="AR89" i="12"/>
  <c r="AS90" i="12"/>
  <c r="AS84" i="12"/>
  <c r="AS85" i="12" s="1"/>
  <c r="AR83" i="12"/>
  <c r="AR67" i="12"/>
  <c r="AS68" i="12"/>
  <c r="AR61" i="12"/>
  <c r="AS62" i="12"/>
  <c r="AR27" i="12"/>
  <c r="AS28" i="12"/>
  <c r="AS20" i="12"/>
  <c r="AS21" i="12" s="1"/>
  <c r="L51" i="15" l="1"/>
  <c r="P52" i="15" s="1"/>
  <c r="K51" i="15"/>
  <c r="Q52" i="15"/>
  <c r="L112" i="15"/>
  <c r="K112" i="15"/>
  <c r="O27" i="15"/>
  <c r="P27" i="15"/>
  <c r="O47" i="15"/>
  <c r="P47" i="15"/>
  <c r="AR20" i="12"/>
  <c r="AR21" i="12" s="1"/>
  <c r="AS22" i="12"/>
  <c r="AR504" i="12"/>
  <c r="AQ503" i="12"/>
  <c r="AR489" i="12"/>
  <c r="AS490" i="12"/>
  <c r="AR484" i="12"/>
  <c r="AQ483" i="12"/>
  <c r="AQ472" i="12"/>
  <c r="AR473" i="12"/>
  <c r="AQ463" i="12"/>
  <c r="AR464" i="12"/>
  <c r="AR451" i="12"/>
  <c r="AQ450" i="12"/>
  <c r="AR431" i="12"/>
  <c r="AQ430" i="12"/>
  <c r="AR445" i="12"/>
  <c r="AQ444" i="12"/>
  <c r="AR425" i="12"/>
  <c r="AQ424" i="12"/>
  <c r="AR407" i="12"/>
  <c r="AQ406" i="12"/>
  <c r="AR393" i="12"/>
  <c r="AQ392" i="12"/>
  <c r="AQ385" i="12"/>
  <c r="AR386" i="12"/>
  <c r="AQ364" i="12"/>
  <c r="AR365" i="12"/>
  <c r="AQ346" i="12"/>
  <c r="AR347" i="12"/>
  <c r="AQ326" i="12"/>
  <c r="AR327" i="12"/>
  <c r="AS314" i="12"/>
  <c r="AR313" i="12"/>
  <c r="AS305" i="12"/>
  <c r="AR304" i="12"/>
  <c r="AQ292" i="12"/>
  <c r="AR293" i="12"/>
  <c r="AR287" i="12"/>
  <c r="AQ286" i="12"/>
  <c r="AQ273" i="12"/>
  <c r="AR274" i="12"/>
  <c r="AR267" i="12"/>
  <c r="AQ266" i="12"/>
  <c r="AQ232" i="12"/>
  <c r="AR233" i="12"/>
  <c r="AR227" i="12"/>
  <c r="AQ226" i="12"/>
  <c r="AR251" i="12"/>
  <c r="AS252" i="12"/>
  <c r="AQ245" i="12"/>
  <c r="AR246" i="12"/>
  <c r="AR211" i="12"/>
  <c r="AQ210" i="12"/>
  <c r="AQ204" i="12"/>
  <c r="AR205" i="12"/>
  <c r="AR185" i="12"/>
  <c r="AQ184" i="12"/>
  <c r="AR190" i="12"/>
  <c r="AS191" i="12"/>
  <c r="AQ170" i="12"/>
  <c r="AR171" i="12"/>
  <c r="AQ164" i="12"/>
  <c r="AR165" i="12"/>
  <c r="AQ150" i="12"/>
  <c r="AR151" i="12"/>
  <c r="AR145" i="12"/>
  <c r="AQ144" i="12"/>
  <c r="AQ124" i="12"/>
  <c r="AR125" i="12"/>
  <c r="AR131" i="12"/>
  <c r="AQ130" i="12"/>
  <c r="AR111" i="12"/>
  <c r="AQ110" i="12"/>
  <c r="AR105" i="12"/>
  <c r="AQ104" i="12"/>
  <c r="AS91" i="12"/>
  <c r="AR90" i="12"/>
  <c r="AQ89" i="12"/>
  <c r="AR84" i="12"/>
  <c r="AR85" i="12" s="1"/>
  <c r="AQ83" i="12"/>
  <c r="AR68" i="12"/>
  <c r="AQ67" i="12"/>
  <c r="AQ61" i="12"/>
  <c r="AR62" i="12"/>
  <c r="AQ27" i="12"/>
  <c r="AR28" i="12"/>
  <c r="O52" i="15" l="1"/>
  <c r="AQ20" i="12"/>
  <c r="AQ21" i="12" s="1"/>
  <c r="AQ22" i="12" s="1"/>
  <c r="AR22" i="12"/>
  <c r="AQ504" i="12"/>
  <c r="AP503" i="12"/>
  <c r="AR490" i="12"/>
  <c r="AQ489" i="12"/>
  <c r="AP483" i="12"/>
  <c r="AQ484" i="12"/>
  <c r="AP472" i="12"/>
  <c r="AQ473" i="12"/>
  <c r="AQ464" i="12"/>
  <c r="AP463" i="12"/>
  <c r="AQ451" i="12"/>
  <c r="AP450" i="12"/>
  <c r="AQ431" i="12"/>
  <c r="AP430" i="12"/>
  <c r="AQ445" i="12"/>
  <c r="AP444" i="12"/>
  <c r="AQ425" i="12"/>
  <c r="AP424" i="12"/>
  <c r="AQ407" i="12"/>
  <c r="AP406" i="12"/>
  <c r="AQ393" i="12"/>
  <c r="AP392" i="12"/>
  <c r="AP385" i="12"/>
  <c r="AQ386" i="12"/>
  <c r="AP364" i="12"/>
  <c r="AQ365" i="12"/>
  <c r="AP346" i="12"/>
  <c r="AQ347" i="12"/>
  <c r="AP326" i="12"/>
  <c r="AQ327" i="12"/>
  <c r="AR314" i="12"/>
  <c r="AQ313" i="12"/>
  <c r="AQ304" i="12"/>
  <c r="AR305" i="12"/>
  <c r="AP292" i="12"/>
  <c r="AQ293" i="12"/>
  <c r="AP286" i="12"/>
  <c r="AQ287" i="12"/>
  <c r="AP273" i="12"/>
  <c r="AQ274" i="12"/>
  <c r="AQ267" i="12"/>
  <c r="AP266" i="12"/>
  <c r="AP232" i="12"/>
  <c r="AQ233" i="12"/>
  <c r="AQ227" i="12"/>
  <c r="AP226" i="12"/>
  <c r="AP245" i="12"/>
  <c r="AQ246" i="12"/>
  <c r="AR252" i="12"/>
  <c r="AQ251" i="12"/>
  <c r="AQ211" i="12"/>
  <c r="AP210" i="12"/>
  <c r="AP204" i="12"/>
  <c r="AQ205" i="12"/>
  <c r="AR191" i="12"/>
  <c r="AQ190" i="12"/>
  <c r="AP184" i="12"/>
  <c r="AQ185" i="12"/>
  <c r="AQ171" i="12"/>
  <c r="AP170" i="12"/>
  <c r="AP164" i="12"/>
  <c r="AQ165" i="12"/>
  <c r="AP150" i="12"/>
  <c r="AQ151" i="12"/>
  <c r="AQ145" i="12"/>
  <c r="AP144" i="12"/>
  <c r="AP124" i="12"/>
  <c r="AQ125" i="12"/>
  <c r="AQ131" i="12"/>
  <c r="AP130" i="12"/>
  <c r="AQ111" i="12"/>
  <c r="AP110" i="12"/>
  <c r="AQ105" i="12"/>
  <c r="AP104" i="12"/>
  <c r="AR91" i="12"/>
  <c r="AP89" i="12"/>
  <c r="AQ90" i="12"/>
  <c r="AQ84" i="12"/>
  <c r="AQ85" i="12" s="1"/>
  <c r="AP83" i="12"/>
  <c r="AQ68" i="12"/>
  <c r="AP67" i="12"/>
  <c r="AP61" i="12"/>
  <c r="AQ62" i="12"/>
  <c r="AP27" i="12"/>
  <c r="AQ28" i="12"/>
  <c r="AP20" i="12" l="1"/>
  <c r="AP21" i="12" s="1"/>
  <c r="AP22" i="12" s="1"/>
  <c r="AP504" i="12"/>
  <c r="AO503" i="12"/>
  <c r="AQ490" i="12"/>
  <c r="AP489" i="12"/>
  <c r="AO483" i="12"/>
  <c r="AP484" i="12"/>
  <c r="AO472" i="12"/>
  <c r="AP473" i="12"/>
  <c r="AP464" i="12"/>
  <c r="AO463" i="12"/>
  <c r="AP451" i="12"/>
  <c r="AO450" i="12"/>
  <c r="AP431" i="12"/>
  <c r="AO430" i="12"/>
  <c r="AP445" i="12"/>
  <c r="AO444" i="12"/>
  <c r="AP425" i="12"/>
  <c r="AO424" i="12"/>
  <c r="AP407" i="12"/>
  <c r="AO406" i="12"/>
  <c r="AP393" i="12"/>
  <c r="AO392" i="12"/>
  <c r="AO385" i="12"/>
  <c r="AP386" i="12"/>
  <c r="AO364" i="12"/>
  <c r="AP365" i="12"/>
  <c r="AP347" i="12"/>
  <c r="AO346" i="12"/>
  <c r="AO326" i="12"/>
  <c r="AP327" i="12"/>
  <c r="AQ314" i="12"/>
  <c r="AP313" i="12"/>
  <c r="AP304" i="12"/>
  <c r="AQ305" i="12"/>
  <c r="AO292" i="12"/>
  <c r="AP293" i="12"/>
  <c r="AO286" i="12"/>
  <c r="AP287" i="12"/>
  <c r="AO273" i="12"/>
  <c r="AP274" i="12"/>
  <c r="AP267" i="12"/>
  <c r="AO266" i="12"/>
  <c r="AP233" i="12"/>
  <c r="AO232" i="12"/>
  <c r="AP227" i="12"/>
  <c r="AO226" i="12"/>
  <c r="AO245" i="12"/>
  <c r="AP246" i="12"/>
  <c r="AQ252" i="12"/>
  <c r="AP251" i="12"/>
  <c r="AP211" i="12"/>
  <c r="AO210" i="12"/>
  <c r="AO204" i="12"/>
  <c r="AP205" i="12"/>
  <c r="AO184" i="12"/>
  <c r="AP185" i="12"/>
  <c r="AQ191" i="12"/>
  <c r="AP190" i="12"/>
  <c r="AO164" i="12"/>
  <c r="AP165" i="12"/>
  <c r="AP171" i="12"/>
  <c r="AO170" i="12"/>
  <c r="AO150" i="12"/>
  <c r="AP151" i="12"/>
  <c r="AP145" i="12"/>
  <c r="AO144" i="12"/>
  <c r="AP131" i="12"/>
  <c r="AO130" i="12"/>
  <c r="AO124" i="12"/>
  <c r="AP125" i="12"/>
  <c r="AP111" i="12"/>
  <c r="AO110" i="12"/>
  <c r="AP105" i="12"/>
  <c r="AO104" i="12"/>
  <c r="AQ91" i="12"/>
  <c r="AO89" i="12"/>
  <c r="AP90" i="12"/>
  <c r="AP84" i="12"/>
  <c r="AP85" i="12" s="1"/>
  <c r="AO83" i="12"/>
  <c r="AP68" i="12"/>
  <c r="AO67" i="12"/>
  <c r="AO61" i="12"/>
  <c r="AP62" i="12"/>
  <c r="AO27" i="12"/>
  <c r="AP28" i="12"/>
  <c r="AO20" i="12" l="1"/>
  <c r="AO21" i="12" s="1"/>
  <c r="AO22" i="12" s="1"/>
  <c r="AN503" i="12"/>
  <c r="AO504" i="12"/>
  <c r="AO489" i="12"/>
  <c r="AP490" i="12"/>
  <c r="AO484" i="12"/>
  <c r="AN483" i="12"/>
  <c r="AO473" i="12"/>
  <c r="AN472" i="12"/>
  <c r="AN463" i="12"/>
  <c r="AO464" i="12"/>
  <c r="AN450" i="12"/>
  <c r="AO451" i="12"/>
  <c r="AO431" i="12"/>
  <c r="AN430" i="12"/>
  <c r="AO445" i="12"/>
  <c r="AN444" i="12"/>
  <c r="AO425" i="12"/>
  <c r="AN424" i="12"/>
  <c r="AN406" i="12"/>
  <c r="AO407" i="12"/>
  <c r="AN392" i="12"/>
  <c r="AO393" i="12"/>
  <c r="AO386" i="12"/>
  <c r="AN385" i="12"/>
  <c r="AN364" i="12"/>
  <c r="AO365" i="12"/>
  <c r="AO347" i="12"/>
  <c r="AN346" i="12"/>
  <c r="AO327" i="12"/>
  <c r="AN326" i="12"/>
  <c r="AO313" i="12"/>
  <c r="AP314" i="12"/>
  <c r="AO304" i="12"/>
  <c r="AP305" i="12"/>
  <c r="AN292" i="12"/>
  <c r="AO293" i="12"/>
  <c r="AN286" i="12"/>
  <c r="AO287" i="12"/>
  <c r="AN273" i="12"/>
  <c r="AO274" i="12"/>
  <c r="AO267" i="12"/>
  <c r="AN266" i="12"/>
  <c r="AO233" i="12"/>
  <c r="AN232" i="12"/>
  <c r="AN226" i="12"/>
  <c r="AO227" i="12"/>
  <c r="AO246" i="12"/>
  <c r="AN245" i="12"/>
  <c r="AP252" i="12"/>
  <c r="AO251" i="12"/>
  <c r="AO205" i="12"/>
  <c r="AN204" i="12"/>
  <c r="AN210" i="12"/>
  <c r="AO211" i="12"/>
  <c r="AP191" i="12"/>
  <c r="AO190" i="12"/>
  <c r="AO185" i="12"/>
  <c r="AN184" i="12"/>
  <c r="AN164" i="12"/>
  <c r="AO165" i="12"/>
  <c r="AO171" i="12"/>
  <c r="AN170" i="12"/>
  <c r="AO151" i="12"/>
  <c r="AN150" i="12"/>
  <c r="AN144" i="12"/>
  <c r="AO145" i="12"/>
  <c r="AN130" i="12"/>
  <c r="AO131" i="12"/>
  <c r="AO125" i="12"/>
  <c r="AN124" i="12"/>
  <c r="AN110" i="12"/>
  <c r="AO111" i="12"/>
  <c r="AN104" i="12"/>
  <c r="AO105" i="12"/>
  <c r="AP91" i="12"/>
  <c r="AN89" i="12"/>
  <c r="AO90" i="12"/>
  <c r="AN83" i="12"/>
  <c r="AO84" i="12"/>
  <c r="AO85" i="12" s="1"/>
  <c r="AN67" i="12"/>
  <c r="AO68" i="12"/>
  <c r="AN61" i="12"/>
  <c r="AO62" i="12"/>
  <c r="AN27" i="12"/>
  <c r="AO28" i="12"/>
  <c r="AN20" i="12" l="1"/>
  <c r="AN21" i="12" s="1"/>
  <c r="AN22" i="12" s="1"/>
  <c r="AM503" i="12"/>
  <c r="AN504" i="12"/>
  <c r="AN489" i="12"/>
  <c r="AO490" i="12"/>
  <c r="AN484" i="12"/>
  <c r="AM483" i="12"/>
  <c r="AM472" i="12"/>
  <c r="AN473" i="12"/>
  <c r="AM463" i="12"/>
  <c r="AN464" i="12"/>
  <c r="AM450" i="12"/>
  <c r="AN451" i="12"/>
  <c r="AM430" i="12"/>
  <c r="AN431" i="12"/>
  <c r="AM444" i="12"/>
  <c r="AN445" i="12"/>
  <c r="AN425" i="12"/>
  <c r="AM424" i="12"/>
  <c r="AM406" i="12"/>
  <c r="AN407" i="12"/>
  <c r="AM392" i="12"/>
  <c r="AN393" i="12"/>
  <c r="AN386" i="12"/>
  <c r="AM385" i="12"/>
  <c r="AN365" i="12"/>
  <c r="AM364" i="12"/>
  <c r="AN347" i="12"/>
  <c r="AM346" i="12"/>
  <c r="AN327" i="12"/>
  <c r="AM326" i="12"/>
  <c r="AN313" i="12"/>
  <c r="AO314" i="12"/>
  <c r="AN304" i="12"/>
  <c r="AO305" i="12"/>
  <c r="AM292" i="12"/>
  <c r="AN293" i="12"/>
  <c r="AN287" i="12"/>
  <c r="AM286" i="12"/>
  <c r="AN274" i="12"/>
  <c r="AM273" i="12"/>
  <c r="AM266" i="12"/>
  <c r="AN267" i="12"/>
  <c r="AN233" i="12"/>
  <c r="AM232" i="12"/>
  <c r="AM226" i="12"/>
  <c r="AN227" i="12"/>
  <c r="AN246" i="12"/>
  <c r="AM245" i="12"/>
  <c r="AN251" i="12"/>
  <c r="AO252" i="12"/>
  <c r="AN205" i="12"/>
  <c r="AM204" i="12"/>
  <c r="AM210" i="12"/>
  <c r="AN211" i="12"/>
  <c r="AN185" i="12"/>
  <c r="AM184" i="12"/>
  <c r="AN190" i="12"/>
  <c r="AO191" i="12"/>
  <c r="AN165" i="12"/>
  <c r="AM164" i="12"/>
  <c r="AM170" i="12"/>
  <c r="AN171" i="12"/>
  <c r="AN151" i="12"/>
  <c r="AM150" i="12"/>
  <c r="AM144" i="12"/>
  <c r="AN145" i="12"/>
  <c r="AN125" i="12"/>
  <c r="AM124" i="12"/>
  <c r="AM130" i="12"/>
  <c r="AN131" i="12"/>
  <c r="AM110" i="12"/>
  <c r="AN111" i="12"/>
  <c r="AM104" i="12"/>
  <c r="AN105" i="12"/>
  <c r="AO91" i="12"/>
  <c r="AN90" i="12"/>
  <c r="AM89" i="12"/>
  <c r="AM83" i="12"/>
  <c r="AN84" i="12"/>
  <c r="AN85" i="12" s="1"/>
  <c r="AM67" i="12"/>
  <c r="AN68" i="12"/>
  <c r="AN62" i="12"/>
  <c r="AM61" i="12"/>
  <c r="AN28" i="12"/>
  <c r="AM27" i="12"/>
  <c r="AM20" i="12" l="1"/>
  <c r="AM21" i="12" s="1"/>
  <c r="AM22" i="12" s="1"/>
  <c r="AM504" i="12"/>
  <c r="AL503" i="12"/>
  <c r="AM489" i="12"/>
  <c r="AN490" i="12"/>
  <c r="AM484" i="12"/>
  <c r="AL483" i="12"/>
  <c r="AM473" i="12"/>
  <c r="AL472" i="12"/>
  <c r="AM464" i="12"/>
  <c r="AL463" i="12"/>
  <c r="AL450" i="12"/>
  <c r="AM451" i="12"/>
  <c r="AM431" i="12"/>
  <c r="AL430" i="12"/>
  <c r="AM445" i="12"/>
  <c r="AL444" i="12"/>
  <c r="AM425" i="12"/>
  <c r="AL424" i="12"/>
  <c r="AM407" i="12"/>
  <c r="AL406" i="12"/>
  <c r="AL392" i="12"/>
  <c r="AM393" i="12"/>
  <c r="AM386" i="12"/>
  <c r="AL385" i="12"/>
  <c r="AM365" i="12"/>
  <c r="AL364" i="12"/>
  <c r="AM347" i="12"/>
  <c r="AL346" i="12"/>
  <c r="AM327" i="12"/>
  <c r="AL326" i="12"/>
  <c r="AM313" i="12"/>
  <c r="AN314" i="12"/>
  <c r="AM304" i="12"/>
  <c r="AN305" i="12"/>
  <c r="AM293" i="12"/>
  <c r="AL292" i="12"/>
  <c r="AM287" i="12"/>
  <c r="AL286" i="12"/>
  <c r="AL273" i="12"/>
  <c r="AM274" i="12"/>
  <c r="AL266" i="12"/>
  <c r="AM267" i="12"/>
  <c r="AL232" i="12"/>
  <c r="AM233" i="12"/>
  <c r="AL226" i="12"/>
  <c r="AM227" i="12"/>
  <c r="AM251" i="12"/>
  <c r="AN252" i="12"/>
  <c r="AM246" i="12"/>
  <c r="AL245" i="12"/>
  <c r="AM205" i="12"/>
  <c r="AL204" i="12"/>
  <c r="AL210" i="12"/>
  <c r="AM211" i="12"/>
  <c r="AM185" i="12"/>
  <c r="AL184" i="12"/>
  <c r="AM190" i="12"/>
  <c r="AN191" i="12"/>
  <c r="AM171" i="12"/>
  <c r="AL170" i="12"/>
  <c r="AM165" i="12"/>
  <c r="AL164" i="12"/>
  <c r="AM151" i="12"/>
  <c r="AL150" i="12"/>
  <c r="AL144" i="12"/>
  <c r="AM145" i="12"/>
  <c r="AL130" i="12"/>
  <c r="AM131" i="12"/>
  <c r="AM125" i="12"/>
  <c r="AL124" i="12"/>
  <c r="AL110" i="12"/>
  <c r="AM111" i="12"/>
  <c r="AL104" i="12"/>
  <c r="AM105" i="12"/>
  <c r="AM90" i="12"/>
  <c r="AL89" i="12"/>
  <c r="AN91" i="12"/>
  <c r="AL83" i="12"/>
  <c r="AM84" i="12"/>
  <c r="AM85" i="12" s="1"/>
  <c r="AM68" i="12"/>
  <c r="AL67" i="12"/>
  <c r="AM62" i="12"/>
  <c r="AL61" i="12"/>
  <c r="AM28" i="12"/>
  <c r="AL27" i="12"/>
  <c r="AL20" i="12" l="1"/>
  <c r="AL21" i="12" s="1"/>
  <c r="AL22" i="12" s="1"/>
  <c r="AK503" i="12"/>
  <c r="AL504" i="12"/>
  <c r="AL489" i="12"/>
  <c r="AM490" i="12"/>
  <c r="AK483" i="12"/>
  <c r="AL484" i="12"/>
  <c r="AK472" i="12"/>
  <c r="AL473" i="12"/>
  <c r="AK463" i="12"/>
  <c r="AL464" i="12"/>
  <c r="AK450" i="12"/>
  <c r="AL451" i="12"/>
  <c r="AK430" i="12"/>
  <c r="AL431" i="12"/>
  <c r="AK444" i="12"/>
  <c r="AL445" i="12"/>
  <c r="AK424" i="12"/>
  <c r="AL425" i="12"/>
  <c r="AK406" i="12"/>
  <c r="AL407" i="12"/>
  <c r="AK392" i="12"/>
  <c r="AL393" i="12"/>
  <c r="AK385" i="12"/>
  <c r="AL386" i="12"/>
  <c r="AK364" i="12"/>
  <c r="AL365" i="12"/>
  <c r="AK346" i="12"/>
  <c r="AL347" i="12"/>
  <c r="AK326" i="12"/>
  <c r="AL327" i="12"/>
  <c r="AL313" i="12"/>
  <c r="AM314" i="12"/>
  <c r="AL304" i="12"/>
  <c r="AM305" i="12"/>
  <c r="AL293" i="12"/>
  <c r="AK292" i="12"/>
  <c r="AL287" i="12"/>
  <c r="AK286" i="12"/>
  <c r="AK273" i="12"/>
  <c r="AL274" i="12"/>
  <c r="AK266" i="12"/>
  <c r="AL267" i="12"/>
  <c r="AK232" i="12"/>
  <c r="AL233" i="12"/>
  <c r="AK226" i="12"/>
  <c r="AL227" i="12"/>
  <c r="AL251" i="12"/>
  <c r="AM252" i="12"/>
  <c r="AK245" i="12"/>
  <c r="AL246" i="12"/>
  <c r="AK204" i="12"/>
  <c r="AL205" i="12"/>
  <c r="AK210" i="12"/>
  <c r="AL211" i="12"/>
  <c r="AL190" i="12"/>
  <c r="AM191" i="12"/>
  <c r="AK184" i="12"/>
  <c r="AL185" i="12"/>
  <c r="AK170" i="12"/>
  <c r="AL171" i="12"/>
  <c r="AK164" i="12"/>
  <c r="AL165" i="12"/>
  <c r="AK150" i="12"/>
  <c r="AL151" i="12"/>
  <c r="AK144" i="12"/>
  <c r="AL145" i="12"/>
  <c r="AK124" i="12"/>
  <c r="AL125" i="12"/>
  <c r="AK130" i="12"/>
  <c r="AL131" i="12"/>
  <c r="AK110" i="12"/>
  <c r="AL111" i="12"/>
  <c r="AK104" i="12"/>
  <c r="AL105" i="12"/>
  <c r="AM91" i="12"/>
  <c r="AL90" i="12"/>
  <c r="AK89" i="12"/>
  <c r="AK83" i="12"/>
  <c r="AL84" i="12"/>
  <c r="AL85" i="12" s="1"/>
  <c r="AK67" i="12"/>
  <c r="AL68" i="12"/>
  <c r="AK61" i="12"/>
  <c r="AL62" i="12"/>
  <c r="AK27" i="12"/>
  <c r="AL28" i="12"/>
  <c r="AK20" i="12" l="1"/>
  <c r="AK21" i="12" s="1"/>
  <c r="AK22" i="12" s="1"/>
  <c r="AJ503" i="12"/>
  <c r="AK504" i="12"/>
  <c r="AK489" i="12"/>
  <c r="AL490" i="12"/>
  <c r="AJ483" i="12"/>
  <c r="AK484" i="12"/>
  <c r="AK473" i="12"/>
  <c r="AJ472" i="12"/>
  <c r="AJ463" i="12"/>
  <c r="AK464" i="12"/>
  <c r="AJ450" i="12"/>
  <c r="AK451" i="12"/>
  <c r="AJ430" i="12"/>
  <c r="AK431" i="12"/>
  <c r="AJ444" i="12"/>
  <c r="AK445" i="12"/>
  <c r="AJ424" i="12"/>
  <c r="AK425" i="12"/>
  <c r="AJ406" i="12"/>
  <c r="AK407" i="12"/>
  <c r="AJ392" i="12"/>
  <c r="AK393" i="12"/>
  <c r="AJ385" i="12"/>
  <c r="AK386" i="12"/>
  <c r="AJ364" i="12"/>
  <c r="AK365" i="12"/>
  <c r="AJ346" i="12"/>
  <c r="AK347" i="12"/>
  <c r="AJ326" i="12"/>
  <c r="AK327" i="12"/>
  <c r="AK313" i="12"/>
  <c r="AL314" i="12"/>
  <c r="AK304" i="12"/>
  <c r="AL305" i="12"/>
  <c r="AK293" i="12"/>
  <c r="AJ292" i="12"/>
  <c r="AJ286" i="12"/>
  <c r="AK287" i="12"/>
  <c r="AJ273" i="12"/>
  <c r="AK274" i="12"/>
  <c r="AJ266" i="12"/>
  <c r="AK267" i="12"/>
  <c r="AJ232" i="12"/>
  <c r="AK233" i="12"/>
  <c r="AJ226" i="12"/>
  <c r="AK227" i="12"/>
  <c r="AJ245" i="12"/>
  <c r="AK246" i="12"/>
  <c r="AK251" i="12"/>
  <c r="AL252" i="12"/>
  <c r="AJ204" i="12"/>
  <c r="AK205" i="12"/>
  <c r="AJ210" i="12"/>
  <c r="AK211" i="12"/>
  <c r="AJ184" i="12"/>
  <c r="AK185" i="12"/>
  <c r="AK190" i="12"/>
  <c r="AL191" i="12"/>
  <c r="AJ164" i="12"/>
  <c r="AK165" i="12"/>
  <c r="AJ170" i="12"/>
  <c r="AK171" i="12"/>
  <c r="AK151" i="12"/>
  <c r="AJ150" i="12"/>
  <c r="AJ144" i="12"/>
  <c r="AK145" i="12"/>
  <c r="AJ130" i="12"/>
  <c r="AK131" i="12"/>
  <c r="AJ124" i="12"/>
  <c r="AK125" i="12"/>
  <c r="AJ110" i="12"/>
  <c r="AK111" i="12"/>
  <c r="AK105" i="12"/>
  <c r="AJ104" i="12"/>
  <c r="AJ89" i="12"/>
  <c r="AK90" i="12"/>
  <c r="AL91" i="12"/>
  <c r="AJ83" i="12"/>
  <c r="AK84" i="12"/>
  <c r="AK85" i="12" s="1"/>
  <c r="AJ67" i="12"/>
  <c r="AK68" i="12"/>
  <c r="AJ61" i="12"/>
  <c r="AK62" i="12"/>
  <c r="AJ27" i="12"/>
  <c r="AK28" i="12"/>
  <c r="AJ20" i="12" l="1"/>
  <c r="AJ21" i="12" s="1"/>
  <c r="AJ22" i="12" s="1"/>
  <c r="AJ504" i="12"/>
  <c r="AI503" i="12"/>
  <c r="AK490" i="12"/>
  <c r="AJ489" i="12"/>
  <c r="AI483" i="12"/>
  <c r="AJ484" i="12"/>
  <c r="AJ473" i="12"/>
  <c r="AI472" i="12"/>
  <c r="AJ464" i="12"/>
  <c r="AI463" i="12"/>
  <c r="AJ451" i="12"/>
  <c r="AI450" i="12"/>
  <c r="AI430" i="12"/>
  <c r="AJ431" i="12"/>
  <c r="AJ445" i="12"/>
  <c r="AI444" i="12"/>
  <c r="AI424" i="12"/>
  <c r="AJ425" i="12"/>
  <c r="AJ407" i="12"/>
  <c r="AI406" i="12"/>
  <c r="AJ393" i="12"/>
  <c r="AI392" i="12"/>
  <c r="AI385" i="12"/>
  <c r="AJ386" i="12"/>
  <c r="AI364" i="12"/>
  <c r="AJ365" i="12"/>
  <c r="AI346" i="12"/>
  <c r="AJ347" i="12"/>
  <c r="AI326" i="12"/>
  <c r="AJ327" i="12"/>
  <c r="AK314" i="12"/>
  <c r="AJ313" i="12"/>
  <c r="AK305" i="12"/>
  <c r="AJ304" i="12"/>
  <c r="AI292" i="12"/>
  <c r="AJ293" i="12"/>
  <c r="AI286" i="12"/>
  <c r="AJ287" i="12"/>
  <c r="AJ274" i="12"/>
  <c r="AI273" i="12"/>
  <c r="AJ267" i="12"/>
  <c r="AI266" i="12"/>
  <c r="AI232" i="12"/>
  <c r="AJ233" i="12"/>
  <c r="AJ227" i="12"/>
  <c r="AI226" i="12"/>
  <c r="AJ251" i="12"/>
  <c r="AK252" i="12"/>
  <c r="AI245" i="12"/>
  <c r="AJ246" i="12"/>
  <c r="AI204" i="12"/>
  <c r="AJ205" i="12"/>
  <c r="AJ211" i="12"/>
  <c r="AI210" i="12"/>
  <c r="AJ190" i="12"/>
  <c r="AK191" i="12"/>
  <c r="AI184" i="12"/>
  <c r="AJ185" i="12"/>
  <c r="AJ171" i="12"/>
  <c r="AI170" i="12"/>
  <c r="AJ165" i="12"/>
  <c r="AI164" i="12"/>
  <c r="AI150" i="12"/>
  <c r="AJ151" i="12"/>
  <c r="AJ145" i="12"/>
  <c r="AI144" i="12"/>
  <c r="AI124" i="12"/>
  <c r="AJ125" i="12"/>
  <c r="AJ131" i="12"/>
  <c r="AI130" i="12"/>
  <c r="AJ111" i="12"/>
  <c r="AI110" i="12"/>
  <c r="AJ105" i="12"/>
  <c r="AI104" i="12"/>
  <c r="AI89" i="12"/>
  <c r="AJ90" i="12"/>
  <c r="AK91" i="12"/>
  <c r="AJ84" i="12"/>
  <c r="AJ85" i="12" s="1"/>
  <c r="AI83" i="12"/>
  <c r="AJ68" i="12"/>
  <c r="AI67" i="12"/>
  <c r="AJ62" i="12"/>
  <c r="AI61" i="12"/>
  <c r="AI27" i="12"/>
  <c r="AJ28" i="12"/>
  <c r="AI20" i="12" l="1"/>
  <c r="AI21" i="12" s="1"/>
  <c r="AI22" i="12" s="1"/>
  <c r="AI504" i="12"/>
  <c r="AH503" i="12"/>
  <c r="AJ490" i="12"/>
  <c r="AI489" i="12"/>
  <c r="AH483" i="12"/>
  <c r="AI484" i="12"/>
  <c r="AH472" i="12"/>
  <c r="AI473" i="12"/>
  <c r="AI464" i="12"/>
  <c r="AH463" i="12"/>
  <c r="AI451" i="12"/>
  <c r="AH450" i="12"/>
  <c r="AI431" i="12"/>
  <c r="AH430" i="12"/>
  <c r="AI445" i="12"/>
  <c r="AH444" i="12"/>
  <c r="AI425" i="12"/>
  <c r="AH424" i="12"/>
  <c r="AI407" i="12"/>
  <c r="AH406" i="12"/>
  <c r="AH392" i="12"/>
  <c r="AI393" i="12"/>
  <c r="AH385" i="12"/>
  <c r="AI386" i="12"/>
  <c r="AH364" i="12"/>
  <c r="AI365" i="12"/>
  <c r="AH346" i="12"/>
  <c r="AI347" i="12"/>
  <c r="AH326" i="12"/>
  <c r="AI327" i="12"/>
  <c r="AJ314" i="12"/>
  <c r="AI313" i="12"/>
  <c r="AJ305" i="12"/>
  <c r="AI304" i="12"/>
  <c r="AH292" i="12"/>
  <c r="AI293" i="12"/>
  <c r="AH286" i="12"/>
  <c r="AI287" i="12"/>
  <c r="AH273" i="12"/>
  <c r="AI274" i="12"/>
  <c r="AI267" i="12"/>
  <c r="AH266" i="12"/>
  <c r="AH232" i="12"/>
  <c r="AI233" i="12"/>
  <c r="AI227" i="12"/>
  <c r="AH226" i="12"/>
  <c r="AJ252" i="12"/>
  <c r="AI251" i="12"/>
  <c r="AH245" i="12"/>
  <c r="AI246" i="12"/>
  <c r="AH204" i="12"/>
  <c r="AI205" i="12"/>
  <c r="AI211" i="12"/>
  <c r="AH210" i="12"/>
  <c r="AH184" i="12"/>
  <c r="AI185" i="12"/>
  <c r="AJ191" i="12"/>
  <c r="AI190" i="12"/>
  <c r="AI171" i="12"/>
  <c r="AH170" i="12"/>
  <c r="AH164" i="12"/>
  <c r="AI165" i="12"/>
  <c r="AH150" i="12"/>
  <c r="AI151" i="12"/>
  <c r="AI145" i="12"/>
  <c r="AH144" i="12"/>
  <c r="AI131" i="12"/>
  <c r="AH130" i="12"/>
  <c r="AH124" i="12"/>
  <c r="AI125" i="12"/>
  <c r="AI111" i="12"/>
  <c r="AH110" i="12"/>
  <c r="AI105" i="12"/>
  <c r="AH104" i="12"/>
  <c r="AH89" i="12"/>
  <c r="AI90" i="12"/>
  <c r="AJ91" i="12"/>
  <c r="AI84" i="12"/>
  <c r="AI85" i="12" s="1"/>
  <c r="AH83" i="12"/>
  <c r="AI68" i="12"/>
  <c r="AH67" i="12"/>
  <c r="AH61" i="12"/>
  <c r="AI62" i="12"/>
  <c r="AH27" i="12"/>
  <c r="AI28" i="12"/>
  <c r="AH20" i="12" l="1"/>
  <c r="AH21" i="12" s="1"/>
  <c r="AH22" i="12" s="1"/>
  <c r="AH504" i="12"/>
  <c r="AG503" i="12"/>
  <c r="AI490" i="12"/>
  <c r="AH489" i="12"/>
  <c r="AG483" i="12"/>
  <c r="AH484" i="12"/>
  <c r="AG472" i="12"/>
  <c r="AH473" i="12"/>
  <c r="AH464" i="12"/>
  <c r="AG463" i="12"/>
  <c r="AH451" i="12"/>
  <c r="AG450" i="12"/>
  <c r="AH431" i="12"/>
  <c r="AG430" i="12"/>
  <c r="AH445" i="12"/>
  <c r="AG444" i="12"/>
  <c r="AG424" i="12"/>
  <c r="AH425" i="12"/>
  <c r="AG406" i="12"/>
  <c r="AH407" i="12"/>
  <c r="AH393" i="12"/>
  <c r="AG392" i="12"/>
  <c r="AG385" i="12"/>
  <c r="AH386" i="12"/>
  <c r="AG364" i="12"/>
  <c r="AH365" i="12"/>
  <c r="AG346" i="12"/>
  <c r="AH347" i="12"/>
  <c r="AG326" i="12"/>
  <c r="AH327" i="12"/>
  <c r="AH313" i="12"/>
  <c r="AI314" i="12"/>
  <c r="AI305" i="12"/>
  <c r="AH304" i="12"/>
  <c r="AG292" i="12"/>
  <c r="AH293" i="12"/>
  <c r="AG286" i="12"/>
  <c r="AH287" i="12"/>
  <c r="AG273" i="12"/>
  <c r="AH274" i="12"/>
  <c r="AH267" i="12"/>
  <c r="AG266" i="12"/>
  <c r="AH233" i="12"/>
  <c r="AG232" i="12"/>
  <c r="AH227" i="12"/>
  <c r="AG226" i="12"/>
  <c r="AH246" i="12"/>
  <c r="AG245" i="12"/>
  <c r="AI252" i="12"/>
  <c r="AH251" i="12"/>
  <c r="AG204" i="12"/>
  <c r="AH205" i="12"/>
  <c r="AH211" i="12"/>
  <c r="AG210" i="12"/>
  <c r="AI191" i="12"/>
  <c r="AH190" i="12"/>
  <c r="AG184" i="12"/>
  <c r="AH185" i="12"/>
  <c r="AG164" i="12"/>
  <c r="AH165" i="12"/>
  <c r="AH171" i="12"/>
  <c r="AG170" i="12"/>
  <c r="AG150" i="12"/>
  <c r="AH151" i="12"/>
  <c r="AH145" i="12"/>
  <c r="AG144" i="12"/>
  <c r="AH131" i="12"/>
  <c r="AG130" i="12"/>
  <c r="AG124" i="12"/>
  <c r="AH125" i="12"/>
  <c r="AH111" i="12"/>
  <c r="AG110" i="12"/>
  <c r="AH105" i="12"/>
  <c r="AG104" i="12"/>
  <c r="AI91" i="12"/>
  <c r="AG89" i="12"/>
  <c r="AH90" i="12"/>
  <c r="AG83" i="12"/>
  <c r="AH84" i="12"/>
  <c r="AH85" i="12" s="1"/>
  <c r="AH68" i="12"/>
  <c r="AG67" i="12"/>
  <c r="AG61" i="12"/>
  <c r="AH62" i="12"/>
  <c r="AG27" i="12"/>
  <c r="AH28" i="12"/>
  <c r="AG20" i="12" l="1"/>
  <c r="AG21" i="12" s="1"/>
  <c r="AG22" i="12" s="1"/>
  <c r="AF503" i="12"/>
  <c r="AG504" i="12"/>
  <c r="AG489" i="12"/>
  <c r="AH490" i="12"/>
  <c r="AG484" i="12"/>
  <c r="AF483" i="12"/>
  <c r="AG473" i="12"/>
  <c r="AF472" i="12"/>
  <c r="AG464" i="12"/>
  <c r="AF463" i="12"/>
  <c r="AF450" i="12"/>
  <c r="AG451" i="12"/>
  <c r="AF430" i="12"/>
  <c r="AG431" i="12"/>
  <c r="AF444" i="12"/>
  <c r="AG445" i="12"/>
  <c r="AG425" i="12"/>
  <c r="AF424" i="12"/>
  <c r="AF406" i="12"/>
  <c r="AG407" i="12"/>
  <c r="AF392" i="12"/>
  <c r="AG393" i="12"/>
  <c r="AG386" i="12"/>
  <c r="AF385" i="12"/>
  <c r="AG365" i="12"/>
  <c r="AF364" i="12"/>
  <c r="AG347" i="12"/>
  <c r="AF346" i="12"/>
  <c r="AF326" i="12"/>
  <c r="AG327" i="12"/>
  <c r="AG313" i="12"/>
  <c r="AH314" i="12"/>
  <c r="AG304" i="12"/>
  <c r="AH305" i="12"/>
  <c r="AF292" i="12"/>
  <c r="AG293" i="12"/>
  <c r="AF286" i="12"/>
  <c r="AG287" i="12"/>
  <c r="AF273" i="12"/>
  <c r="AG274" i="12"/>
  <c r="AG267" i="12"/>
  <c r="AF266" i="12"/>
  <c r="AG233" i="12"/>
  <c r="AF232" i="12"/>
  <c r="AF226" i="12"/>
  <c r="AG227" i="12"/>
  <c r="AG251" i="12"/>
  <c r="AH252" i="12"/>
  <c r="AG246" i="12"/>
  <c r="AF245" i="12"/>
  <c r="AF210" i="12"/>
  <c r="AG211" i="12"/>
  <c r="AG205" i="12"/>
  <c r="AF204" i="12"/>
  <c r="AG185" i="12"/>
  <c r="AF184" i="12"/>
  <c r="AH191" i="12"/>
  <c r="AG190" i="12"/>
  <c r="AF170" i="12"/>
  <c r="AG171" i="12"/>
  <c r="AF164" i="12"/>
  <c r="AG165" i="12"/>
  <c r="AG151" i="12"/>
  <c r="AF150" i="12"/>
  <c r="AF144" i="12"/>
  <c r="AG145" i="12"/>
  <c r="AF130" i="12"/>
  <c r="AG131" i="12"/>
  <c r="AG125" i="12"/>
  <c r="AF124" i="12"/>
  <c r="AG111" i="12"/>
  <c r="AF110" i="12"/>
  <c r="AF104" i="12"/>
  <c r="AG105" i="12"/>
  <c r="AH91" i="12"/>
  <c r="AF89" i="12"/>
  <c r="AG90" i="12"/>
  <c r="AF83" i="12"/>
  <c r="AG84" i="12"/>
  <c r="AG85" i="12" s="1"/>
  <c r="AF67" i="12"/>
  <c r="AG68" i="12"/>
  <c r="AG62" i="12"/>
  <c r="AF61" i="12"/>
  <c r="AF27" i="12"/>
  <c r="AG28" i="12"/>
  <c r="AF20" i="12" l="1"/>
  <c r="AF21" i="12" s="1"/>
  <c r="AF22" i="12" s="1"/>
  <c r="AE503" i="12"/>
  <c r="AF504" i="12"/>
  <c r="AF489" i="12"/>
  <c r="AG490" i="12"/>
  <c r="AF484" i="12"/>
  <c r="AE483" i="12"/>
  <c r="AF473" i="12"/>
  <c r="AE472" i="12"/>
  <c r="AE463" i="12"/>
  <c r="AF464" i="12"/>
  <c r="AE450" i="12"/>
  <c r="AF451" i="12"/>
  <c r="AE430" i="12"/>
  <c r="AF431" i="12"/>
  <c r="AE444" i="12"/>
  <c r="AF445" i="12"/>
  <c r="AE424" i="12"/>
  <c r="AF425" i="12"/>
  <c r="AF407" i="12"/>
  <c r="AE406" i="12"/>
  <c r="AE392" i="12"/>
  <c r="AF393" i="12"/>
  <c r="AF386" i="12"/>
  <c r="AE385" i="12"/>
  <c r="AF365" i="12"/>
  <c r="AE364" i="12"/>
  <c r="AF347" i="12"/>
  <c r="AE346" i="12"/>
  <c r="AE326" i="12"/>
  <c r="AF327" i="12"/>
  <c r="AF313" i="12"/>
  <c r="AG314" i="12"/>
  <c r="AF304" i="12"/>
  <c r="AG305" i="12"/>
  <c r="AF293" i="12"/>
  <c r="AE292" i="12"/>
  <c r="AF287" i="12"/>
  <c r="AE286" i="12"/>
  <c r="AF274" i="12"/>
  <c r="AE273" i="12"/>
  <c r="AF267" i="12"/>
  <c r="AE266" i="12"/>
  <c r="AF233" i="12"/>
  <c r="AE232" i="12"/>
  <c r="AE226" i="12"/>
  <c r="AF227" i="12"/>
  <c r="AF246" i="12"/>
  <c r="AE245" i="12"/>
  <c r="AF251" i="12"/>
  <c r="AG252" i="12"/>
  <c r="AF205" i="12"/>
  <c r="AE204" i="12"/>
  <c r="AE210" i="12"/>
  <c r="AF211" i="12"/>
  <c r="AF190" i="12"/>
  <c r="AG191" i="12"/>
  <c r="AF185" i="12"/>
  <c r="AE184" i="12"/>
  <c r="AF165" i="12"/>
  <c r="AE164" i="12"/>
  <c r="AE170" i="12"/>
  <c r="AF171" i="12"/>
  <c r="AF151" i="12"/>
  <c r="AE150" i="12"/>
  <c r="AE144" i="12"/>
  <c r="AF145" i="12"/>
  <c r="AF125" i="12"/>
  <c r="AE124" i="12"/>
  <c r="AE130" i="12"/>
  <c r="AF131" i="12"/>
  <c r="AE110" i="12"/>
  <c r="AF111" i="12"/>
  <c r="AE104" i="12"/>
  <c r="AF105" i="12"/>
  <c r="AF90" i="12"/>
  <c r="AE89" i="12"/>
  <c r="AE83" i="12"/>
  <c r="AF84" i="12"/>
  <c r="AF85" i="12" s="1"/>
  <c r="AE67" i="12"/>
  <c r="AF68" i="12"/>
  <c r="AF62" i="12"/>
  <c r="AE61" i="12"/>
  <c r="AF28" i="12"/>
  <c r="AE27" i="12"/>
  <c r="AE20" i="12" l="1"/>
  <c r="AE21" i="12" s="1"/>
  <c r="AE22" i="12" s="1"/>
  <c r="AE504" i="12"/>
  <c r="AD503" i="12"/>
  <c r="AE489" i="12"/>
  <c r="AF490" i="12"/>
  <c r="AE484" i="12"/>
  <c r="AD483" i="12"/>
  <c r="AD472" i="12"/>
  <c r="AE473" i="12"/>
  <c r="AD463" i="12"/>
  <c r="AE464" i="12"/>
  <c r="AD450" i="12"/>
  <c r="AE451" i="12"/>
  <c r="AE431" i="12"/>
  <c r="AD430" i="12"/>
  <c r="AD444" i="12"/>
  <c r="AE445" i="12"/>
  <c r="AE425" i="12"/>
  <c r="AD424" i="12"/>
  <c r="AE407" i="12"/>
  <c r="AD406" i="12"/>
  <c r="AD392" i="12"/>
  <c r="AE393" i="12"/>
  <c r="AE386" i="12"/>
  <c r="AD385" i="12"/>
  <c r="AE365" i="12"/>
  <c r="AD364" i="12"/>
  <c r="AE347" i="12"/>
  <c r="AD346" i="12"/>
  <c r="AE327" i="12"/>
  <c r="AD326" i="12"/>
  <c r="AE313" i="12"/>
  <c r="AF314" i="12"/>
  <c r="AE304" i="12"/>
  <c r="AF305" i="12"/>
  <c r="AD292" i="12"/>
  <c r="AE293" i="12"/>
  <c r="AE287" i="12"/>
  <c r="AD286" i="12"/>
  <c r="AE274" i="12"/>
  <c r="AD273" i="12"/>
  <c r="AD266" i="12"/>
  <c r="AE267" i="12"/>
  <c r="AE233" i="12"/>
  <c r="AD232" i="12"/>
  <c r="AE227" i="12"/>
  <c r="AD226" i="12"/>
  <c r="AE251" i="12"/>
  <c r="AF252" i="12"/>
  <c r="AE246" i="12"/>
  <c r="AD245" i="12"/>
  <c r="AE205" i="12"/>
  <c r="AD204" i="12"/>
  <c r="AE211" i="12"/>
  <c r="AD210" i="12"/>
  <c r="AD184" i="12"/>
  <c r="AE185" i="12"/>
  <c r="AE190" i="12"/>
  <c r="AF191" i="12"/>
  <c r="AE171" i="12"/>
  <c r="AD170" i="12"/>
  <c r="AE165" i="12"/>
  <c r="AD164" i="12"/>
  <c r="AE151" i="12"/>
  <c r="AD150" i="12"/>
  <c r="AD144" i="12"/>
  <c r="AE145" i="12"/>
  <c r="AE125" i="12"/>
  <c r="AD124" i="12"/>
  <c r="AD130" i="12"/>
  <c r="AE131" i="12"/>
  <c r="AD110" i="12"/>
  <c r="AE111" i="12"/>
  <c r="AD104" i="12"/>
  <c r="AE105" i="12"/>
  <c r="AE90" i="12"/>
  <c r="AD89" i="12"/>
  <c r="AD83" i="12"/>
  <c r="AE84" i="12"/>
  <c r="AE85" i="12" s="1"/>
  <c r="AE68" i="12"/>
  <c r="AD67" i="12"/>
  <c r="AE62" i="12"/>
  <c r="AD61" i="12"/>
  <c r="AE28" i="12"/>
  <c r="AD27" i="12"/>
  <c r="AD20" i="12" l="1"/>
  <c r="AD21" i="12" s="1"/>
  <c r="AD22" i="12" s="1"/>
  <c r="AC503" i="12"/>
  <c r="AD504" i="12"/>
  <c r="AD489" i="12"/>
  <c r="AE490" i="12"/>
  <c r="AC483" i="12"/>
  <c r="AD484" i="12"/>
  <c r="AC472" i="12"/>
  <c r="AD473" i="12"/>
  <c r="AC463" i="12"/>
  <c r="AD464" i="12"/>
  <c r="AC450" i="12"/>
  <c r="AD451" i="12"/>
  <c r="AC430" i="12"/>
  <c r="AD431" i="12"/>
  <c r="AC444" i="12"/>
  <c r="AD445" i="12"/>
  <c r="AC424" i="12"/>
  <c r="AD425" i="12"/>
  <c r="AC406" i="12"/>
  <c r="AD407" i="12"/>
  <c r="AC392" i="12"/>
  <c r="AD393" i="12"/>
  <c r="AC385" i="12"/>
  <c r="AD386" i="12"/>
  <c r="AC364" i="12"/>
  <c r="AD365" i="12"/>
  <c r="AC346" i="12"/>
  <c r="AD347" i="12"/>
  <c r="AD327" i="12"/>
  <c r="AC326" i="12"/>
  <c r="AD313" i="12"/>
  <c r="AE314" i="12"/>
  <c r="AE305" i="12"/>
  <c r="AD304" i="12"/>
  <c r="AD293" i="12"/>
  <c r="AC292" i="12"/>
  <c r="AD287" i="12"/>
  <c r="AC286" i="12"/>
  <c r="AC273" i="12"/>
  <c r="AD274" i="12"/>
  <c r="AC266" i="12"/>
  <c r="AD267" i="12"/>
  <c r="AC232" i="12"/>
  <c r="AD233" i="12"/>
  <c r="AC226" i="12"/>
  <c r="AD227" i="12"/>
  <c r="AC245" i="12"/>
  <c r="AD246" i="12"/>
  <c r="AD251" i="12"/>
  <c r="AE252" i="12"/>
  <c r="AC204" i="12"/>
  <c r="AD205" i="12"/>
  <c r="AC210" i="12"/>
  <c r="AD211" i="12"/>
  <c r="AD190" i="12"/>
  <c r="AE191" i="12"/>
  <c r="AC184" i="12"/>
  <c r="AD185" i="12"/>
  <c r="AD165" i="12"/>
  <c r="AC164" i="12"/>
  <c r="AC170" i="12"/>
  <c r="AD171" i="12"/>
  <c r="AD151" i="12"/>
  <c r="AC150" i="12"/>
  <c r="AC144" i="12"/>
  <c r="AD145" i="12"/>
  <c r="AC130" i="12"/>
  <c r="AD131" i="12"/>
  <c r="AC124" i="12"/>
  <c r="AD125" i="12"/>
  <c r="AC110" i="12"/>
  <c r="AD111" i="12"/>
  <c r="AC104" i="12"/>
  <c r="AD105" i="12"/>
  <c r="AD90" i="12"/>
  <c r="AC89" i="12"/>
  <c r="AC83" i="12"/>
  <c r="AD84" i="12"/>
  <c r="AD85" i="12" s="1"/>
  <c r="AC67" i="12"/>
  <c r="AD68" i="12"/>
  <c r="AD62" i="12"/>
  <c r="AC61" i="12"/>
  <c r="AD28" i="12"/>
  <c r="AC27" i="12"/>
  <c r="AC20" i="12" l="1"/>
  <c r="AC21" i="12" s="1"/>
  <c r="AC22" i="12" s="1"/>
  <c r="AB503" i="12"/>
  <c r="AB504" i="12" s="1"/>
  <c r="AC504" i="12"/>
  <c r="AC489" i="12"/>
  <c r="AD490" i="12"/>
  <c r="AB483" i="12"/>
  <c r="AB484" i="12" s="1"/>
  <c r="AC484" i="12"/>
  <c r="AC473" i="12"/>
  <c r="AB472" i="12"/>
  <c r="AB473" i="12" s="1"/>
  <c r="AB463" i="12"/>
  <c r="AB464" i="12" s="1"/>
  <c r="AC464" i="12"/>
  <c r="AB450" i="12"/>
  <c r="AB451" i="12" s="1"/>
  <c r="AC451" i="12"/>
  <c r="AB430" i="12"/>
  <c r="AB431" i="12" s="1"/>
  <c r="AC431" i="12"/>
  <c r="AB444" i="12"/>
  <c r="AB445" i="12" s="1"/>
  <c r="AC445" i="12"/>
  <c r="AB424" i="12"/>
  <c r="AB425" i="12" s="1"/>
  <c r="AC425" i="12"/>
  <c r="AB406" i="12"/>
  <c r="AB407" i="12" s="1"/>
  <c r="AC407" i="12"/>
  <c r="AC393" i="12"/>
  <c r="AB392" i="12"/>
  <c r="AB393" i="12" s="1"/>
  <c r="AB385" i="12"/>
  <c r="AB386" i="12" s="1"/>
  <c r="AC386" i="12"/>
  <c r="AB364" i="12"/>
  <c r="AB365" i="12" s="1"/>
  <c r="AC365" i="12"/>
  <c r="AB346" i="12"/>
  <c r="AB347" i="12" s="1"/>
  <c r="AC347" i="12"/>
  <c r="AC327" i="12"/>
  <c r="AB326" i="12"/>
  <c r="AB327" i="12" s="1"/>
  <c r="AC313" i="12"/>
  <c r="AD314" i="12"/>
  <c r="AD305" i="12"/>
  <c r="AC304" i="12"/>
  <c r="AC293" i="12"/>
  <c r="AB292" i="12"/>
  <c r="AB293" i="12" s="1"/>
  <c r="AB286" i="12"/>
  <c r="AB287" i="12" s="1"/>
  <c r="AC287" i="12"/>
  <c r="AB273" i="12"/>
  <c r="AB274" i="12" s="1"/>
  <c r="AC274" i="12"/>
  <c r="AB266" i="12"/>
  <c r="AB267" i="12" s="1"/>
  <c r="AC267" i="12"/>
  <c r="AB232" i="12"/>
  <c r="AB233" i="12" s="1"/>
  <c r="AC233" i="12"/>
  <c r="AB226" i="12"/>
  <c r="AB227" i="12" s="1"/>
  <c r="AC227" i="12"/>
  <c r="AC251" i="12"/>
  <c r="AD252" i="12"/>
  <c r="AB245" i="12"/>
  <c r="AB246" i="12" s="1"/>
  <c r="AC246" i="12"/>
  <c r="AB210" i="12"/>
  <c r="AB211" i="12" s="1"/>
  <c r="AC211" i="12"/>
  <c r="AB204" i="12"/>
  <c r="AB205" i="12" s="1"/>
  <c r="AC205" i="12"/>
  <c r="AB184" i="12"/>
  <c r="AB185" i="12" s="1"/>
  <c r="AC185" i="12"/>
  <c r="AC190" i="12"/>
  <c r="AD191" i="12"/>
  <c r="AB170" i="12"/>
  <c r="AB171" i="12" s="1"/>
  <c r="AC171" i="12"/>
  <c r="AB164" i="12"/>
  <c r="AB165" i="12" s="1"/>
  <c r="AC165" i="12"/>
  <c r="AB150" i="12"/>
  <c r="AB151" i="12" s="1"/>
  <c r="AC151" i="12"/>
  <c r="AB144" i="12"/>
  <c r="AB145" i="12" s="1"/>
  <c r="AC145" i="12"/>
  <c r="AB124" i="12"/>
  <c r="AB125" i="12" s="1"/>
  <c r="AC125" i="12"/>
  <c r="AB130" i="12"/>
  <c r="AB131" i="12" s="1"/>
  <c r="AC131" i="12"/>
  <c r="AC111" i="12"/>
  <c r="AB110" i="12"/>
  <c r="AB111" i="12" s="1"/>
  <c r="AC105" i="12"/>
  <c r="AB104" i="12"/>
  <c r="AB105" i="12" s="1"/>
  <c r="AB89" i="12"/>
  <c r="AB90" i="12" s="1"/>
  <c r="AC90" i="12"/>
  <c r="AC84" i="12"/>
  <c r="AC85" i="12" s="1"/>
  <c r="AB83" i="12"/>
  <c r="AB84" i="12" s="1"/>
  <c r="AB85" i="12" s="1"/>
  <c r="AB67" i="12"/>
  <c r="AB68" i="12" s="1"/>
  <c r="AC68" i="12"/>
  <c r="AB61" i="12"/>
  <c r="AB62" i="12" s="1"/>
  <c r="AC62" i="12"/>
  <c r="AB27" i="12"/>
  <c r="AB28" i="12" s="1"/>
  <c r="AC28" i="12"/>
  <c r="AB20" i="12" l="1"/>
  <c r="AB21" i="12" s="1"/>
  <c r="AC490" i="12"/>
  <c r="AB489" i="12"/>
  <c r="AB490" i="12" s="1"/>
  <c r="AC314" i="12"/>
  <c r="AB313" i="12"/>
  <c r="AB314" i="12" s="1"/>
  <c r="AC305" i="12"/>
  <c r="AB304" i="12"/>
  <c r="AB305" i="12" s="1"/>
  <c r="AC252" i="12"/>
  <c r="AB251" i="12"/>
  <c r="AB252" i="12" s="1"/>
  <c r="AB190" i="12"/>
  <c r="AB191" i="12" s="1"/>
  <c r="AC191" i="12"/>
  <c r="AB22" i="12" l="1"/>
  <c r="AO99" i="11"/>
  <c r="AO7" i="5"/>
  <c r="AN7" i="5"/>
  <c r="AO21" i="4"/>
  <c r="AN21" i="4"/>
  <c r="AO8" i="7"/>
  <c r="AO7" i="7"/>
  <c r="AO64" i="3"/>
  <c r="AN64" i="3"/>
  <c r="AS49" i="7" l="1"/>
  <c r="AO27" i="9"/>
  <c r="AN27" i="9"/>
  <c r="AO17" i="6"/>
  <c r="AO18" i="6" s="1"/>
  <c r="AP49" i="6" l="1"/>
  <c r="AS48" i="6"/>
  <c r="AA121" i="6"/>
  <c r="AB121" i="6"/>
  <c r="AC121" i="6"/>
  <c r="AD121" i="6"/>
  <c r="AE121" i="6"/>
  <c r="AF121" i="6"/>
  <c r="AG121" i="6"/>
  <c r="AH121" i="6"/>
  <c r="AI121" i="6"/>
  <c r="AJ121" i="6"/>
  <c r="AK121" i="6"/>
  <c r="AL121" i="6"/>
  <c r="AM121" i="6"/>
  <c r="AN121" i="6"/>
  <c r="AO121" i="6"/>
  <c r="AA122" i="6"/>
  <c r="AB122" i="6"/>
  <c r="AC122" i="6"/>
  <c r="AD122" i="6"/>
  <c r="AE122" i="6"/>
  <c r="AF122" i="6"/>
  <c r="AG122" i="6"/>
  <c r="AH122" i="6"/>
  <c r="AI122" i="6"/>
  <c r="AJ122" i="6"/>
  <c r="AK122" i="6"/>
  <c r="AL122" i="6"/>
  <c r="AM122" i="6"/>
  <c r="AN122" i="6"/>
  <c r="AO122" i="6"/>
  <c r="Z122" i="6"/>
  <c r="Z121" i="6"/>
  <c r="AL48" i="9"/>
  <c r="AM48" i="9"/>
  <c r="AN48" i="9"/>
  <c r="AN113" i="11" l="1"/>
  <c r="AN111" i="11"/>
  <c r="AN110" i="11"/>
  <c r="AN109" i="11"/>
  <c r="AN108" i="11"/>
  <c r="AN106" i="11"/>
  <c r="AN134" i="11"/>
  <c r="AN127" i="11"/>
  <c r="AN126" i="11"/>
  <c r="AN64" i="1"/>
  <c r="AN62" i="1"/>
  <c r="AN61" i="1"/>
  <c r="AN48" i="8"/>
  <c r="AN47" i="8"/>
  <c r="AN45" i="8"/>
  <c r="AN44" i="8"/>
  <c r="AN43" i="8"/>
  <c r="AN42" i="8"/>
  <c r="AN41" i="8"/>
  <c r="AN40" i="8"/>
  <c r="AN28" i="2"/>
  <c r="AN27" i="2"/>
  <c r="AN24" i="2"/>
  <c r="AR25" i="2" s="1"/>
  <c r="AN21" i="2"/>
  <c r="AR22" i="2" s="1"/>
  <c r="AN19" i="2"/>
  <c r="AN18" i="2"/>
  <c r="AN16" i="2"/>
  <c r="AN15" i="2"/>
  <c r="AN126" i="3"/>
  <c r="AN124" i="3"/>
  <c r="AN122" i="3"/>
  <c r="AN121" i="3"/>
  <c r="AN119" i="3"/>
  <c r="AN100" i="3"/>
  <c r="AN98" i="3"/>
  <c r="AN97" i="3"/>
  <c r="AN94" i="3"/>
  <c r="AR95" i="3" s="1"/>
  <c r="AN93" i="3"/>
  <c r="AN91" i="3"/>
  <c r="AN87" i="3"/>
  <c r="AN85" i="3"/>
  <c r="AN84" i="3"/>
  <c r="AN81" i="3"/>
  <c r="AR82" i="3" s="1"/>
  <c r="AN80" i="3"/>
  <c r="AN78" i="3"/>
  <c r="AN73" i="3"/>
  <c r="AN71" i="3"/>
  <c r="AN70" i="3"/>
  <c r="AN67" i="3"/>
  <c r="AR68" i="3" s="1"/>
  <c r="AN66" i="3"/>
  <c r="AN97" i="5"/>
  <c r="AN95" i="5"/>
  <c r="AN89" i="5"/>
  <c r="AN88" i="5"/>
  <c r="AN87" i="5"/>
  <c r="AN80" i="5"/>
  <c r="AN78" i="5"/>
  <c r="AN73" i="5"/>
  <c r="AN72" i="5"/>
  <c r="AN69" i="5"/>
  <c r="AN91" i="5" s="1"/>
  <c r="AR96" i="5" s="1"/>
  <c r="AN86" i="9"/>
  <c r="AN84" i="9"/>
  <c r="AN83" i="9"/>
  <c r="AN81" i="9"/>
  <c r="AN39" i="4"/>
  <c r="AN38" i="4"/>
  <c r="AN37" i="4"/>
  <c r="AN36" i="4"/>
  <c r="AN35" i="4"/>
  <c r="AN34" i="4"/>
  <c r="AN33" i="4"/>
  <c r="AN32" i="4"/>
  <c r="AN31" i="4"/>
  <c r="AN30" i="4"/>
  <c r="AN47" i="1" l="1"/>
  <c r="AR67" i="1" s="1"/>
  <c r="AN36" i="1"/>
  <c r="AN35" i="1"/>
  <c r="AN34" i="1"/>
  <c r="AN33" i="1"/>
  <c r="AN32" i="1"/>
  <c r="AN31" i="1"/>
  <c r="AN30" i="1"/>
  <c r="AN22" i="1"/>
  <c r="AN21" i="1"/>
  <c r="AN20" i="1"/>
  <c r="AN19" i="1"/>
  <c r="AN18" i="1"/>
  <c r="AN17" i="1"/>
  <c r="AN16" i="1"/>
  <c r="AN13" i="1"/>
  <c r="AN10" i="1"/>
  <c r="AN9" i="1"/>
  <c r="AN8" i="1"/>
  <c r="AN7" i="1"/>
  <c r="AN6" i="1"/>
  <c r="AN5" i="1"/>
  <c r="AN4" i="1"/>
  <c r="AN1" i="2"/>
  <c r="AN1" i="8"/>
  <c r="AN20" i="8" s="1"/>
  <c r="AO1" i="8"/>
  <c r="AN1" i="1"/>
  <c r="AN100" i="11"/>
  <c r="AN87" i="11"/>
  <c r="AN54" i="9"/>
  <c r="AN18" i="9"/>
  <c r="AN7" i="9"/>
  <c r="AR59" i="9" s="1"/>
  <c r="AN17" i="6"/>
  <c r="AN18" i="6" s="1"/>
  <c r="AR48" i="6" s="1"/>
  <c r="I31" i="15" l="1"/>
  <c r="I116" i="15" s="1"/>
  <c r="I7" i="15"/>
  <c r="I9" i="15"/>
  <c r="I13" i="15"/>
  <c r="I37" i="15"/>
  <c r="I119" i="15" s="1"/>
  <c r="I11" i="15"/>
  <c r="I15" i="15"/>
  <c r="I66" i="15"/>
  <c r="I33" i="15"/>
  <c r="I35" i="15"/>
  <c r="I39" i="15"/>
  <c r="I120" i="15" s="1"/>
  <c r="I16" i="15"/>
  <c r="I40" i="15"/>
  <c r="I121" i="15" s="1"/>
  <c r="I42" i="15"/>
  <c r="I49" i="15" s="1"/>
  <c r="I2" i="15"/>
  <c r="I22" i="15"/>
  <c r="I113" i="15" s="1"/>
  <c r="AN70" i="5"/>
  <c r="AR74" i="5" s="1"/>
  <c r="I18" i="15"/>
  <c r="AR53" i="1"/>
  <c r="AR131" i="11"/>
  <c r="AN13" i="2"/>
  <c r="AN30" i="2"/>
  <c r="AN44" i="1"/>
  <c r="AN42" i="1"/>
  <c r="AN124" i="11"/>
  <c r="AN123" i="11"/>
  <c r="AN67" i="9"/>
  <c r="AR75" i="9" s="1"/>
  <c r="AN66" i="9"/>
  <c r="AR74" i="9" s="1"/>
  <c r="AN65" i="9"/>
  <c r="AR73" i="9" s="1"/>
  <c r="AN64" i="9"/>
  <c r="AR72" i="9" s="1"/>
  <c r="AN68" i="9"/>
  <c r="AR76" i="9" s="1"/>
  <c r="AN87" i="9"/>
  <c r="AN63" i="9"/>
  <c r="AR71" i="9" s="1"/>
  <c r="AN21" i="9"/>
  <c r="AN56" i="1"/>
  <c r="AN118" i="3"/>
  <c r="AN65" i="1"/>
  <c r="AN133" i="11"/>
  <c r="AN45" i="1"/>
  <c r="AN46" i="1"/>
  <c r="AN23" i="1"/>
  <c r="AN5" i="8"/>
  <c r="AN43" i="1"/>
  <c r="AN11" i="1"/>
  <c r="AN37" i="1"/>
  <c r="M50" i="15" l="1"/>
  <c r="M32" i="15"/>
  <c r="I109" i="15"/>
  <c r="M12" i="15"/>
  <c r="I107" i="15"/>
  <c r="M14" i="15"/>
  <c r="I108" i="15"/>
  <c r="I111" i="15"/>
  <c r="I106" i="15"/>
  <c r="M43" i="15"/>
  <c r="I122" i="15"/>
  <c r="M17" i="15"/>
  <c r="I110" i="15"/>
  <c r="M36" i="15"/>
  <c r="I118" i="15"/>
  <c r="I105" i="15"/>
  <c r="M34" i="15"/>
  <c r="I117" i="15"/>
  <c r="AR58" i="1"/>
  <c r="AR57" i="1"/>
  <c r="I46" i="15"/>
  <c r="M47" i="15" s="1"/>
  <c r="I26" i="15"/>
  <c r="I20" i="15"/>
  <c r="I81" i="15"/>
  <c r="I79" i="15"/>
  <c r="I76" i="15"/>
  <c r="M8" i="15"/>
  <c r="M41" i="15"/>
  <c r="M38" i="15"/>
  <c r="I77" i="15"/>
  <c r="I69" i="15"/>
  <c r="M23" i="15"/>
  <c r="M10" i="15"/>
  <c r="I78" i="15"/>
  <c r="I82" i="15"/>
  <c r="I63" i="15"/>
  <c r="I73" i="15"/>
  <c r="M19" i="15"/>
  <c r="AR78" i="9"/>
  <c r="AN22" i="9"/>
  <c r="AN25" i="8"/>
  <c r="AR33" i="8" s="1"/>
  <c r="AN24" i="8"/>
  <c r="AR32" i="8" s="1"/>
  <c r="AN28" i="8"/>
  <c r="AR36" i="8" s="1"/>
  <c r="AN29" i="8"/>
  <c r="AR37" i="8" s="1"/>
  <c r="AN27" i="8"/>
  <c r="AR35" i="8" s="1"/>
  <c r="AN26" i="8"/>
  <c r="AR34" i="8" s="1"/>
  <c r="AM17" i="6"/>
  <c r="AM18" i="6" s="1"/>
  <c r="AQ48" i="6" s="1"/>
  <c r="AM99" i="11"/>
  <c r="AM87" i="11"/>
  <c r="AM10" i="11"/>
  <c r="AM21" i="4"/>
  <c r="AM30" i="4"/>
  <c r="I51" i="15" l="1"/>
  <c r="I112" i="15"/>
  <c r="M27" i="15"/>
  <c r="AM27" i="9"/>
  <c r="AL17" i="6"/>
  <c r="AK17" i="6"/>
  <c r="AJ17" i="6"/>
  <c r="AI17" i="6"/>
  <c r="AI19" i="6" s="1"/>
  <c r="AH17" i="6"/>
  <c r="AH19" i="6" s="1"/>
  <c r="AG17" i="6"/>
  <c r="AG19" i="6" s="1"/>
  <c r="AF17" i="6"/>
  <c r="AF19" i="6" s="1"/>
  <c r="AE17" i="6"/>
  <c r="AE19" i="6" s="1"/>
  <c r="AD17" i="6"/>
  <c r="AD19" i="6" s="1"/>
  <c r="AC17" i="6"/>
  <c r="AC19" i="6" s="1"/>
  <c r="AA17" i="6"/>
  <c r="Z17" i="6"/>
  <c r="AL99" i="11"/>
  <c r="AK27" i="9"/>
  <c r="AJ27" i="9"/>
  <c r="AI27" i="9"/>
  <c r="AH27" i="9"/>
  <c r="AL10" i="11"/>
  <c r="I52" i="15" l="1"/>
  <c r="M52" i="15"/>
  <c r="AL27" i="9"/>
  <c r="AJ19" i="6"/>
  <c r="AK19" i="6"/>
  <c r="AL18" i="6"/>
  <c r="AP48" i="6" s="1"/>
  <c r="AO97" i="5"/>
  <c r="AO95" i="5"/>
  <c r="AO89" i="5"/>
  <c r="AO88" i="5"/>
  <c r="AO87" i="5"/>
  <c r="AO80" i="5"/>
  <c r="AO78" i="5"/>
  <c r="AO73" i="5"/>
  <c r="AO72" i="5"/>
  <c r="AO69" i="5"/>
  <c r="AO91" i="5" s="1"/>
  <c r="AS96" i="5" s="1"/>
  <c r="AO1" i="5"/>
  <c r="AO51" i="5" s="1"/>
  <c r="AN1" i="5"/>
  <c r="AN51" i="5" s="1"/>
  <c r="AM97" i="5"/>
  <c r="AM95" i="5"/>
  <c r="AM89" i="5"/>
  <c r="AM88" i="5"/>
  <c r="AM87" i="5"/>
  <c r="AM80" i="5"/>
  <c r="AM78" i="5"/>
  <c r="AM73" i="5"/>
  <c r="AM72" i="5"/>
  <c r="AM69" i="5"/>
  <c r="AM91" i="5" s="1"/>
  <c r="AQ96" i="5" s="1"/>
  <c r="AM7" i="5"/>
  <c r="AM1" i="5"/>
  <c r="AM51" i="5" s="1"/>
  <c r="AO102" i="4"/>
  <c r="AO96" i="4"/>
  <c r="AR97" i="4" s="1"/>
  <c r="AO92" i="4"/>
  <c r="AO91" i="4"/>
  <c r="AO90" i="4"/>
  <c r="AO89" i="4"/>
  <c r="AO88" i="4"/>
  <c r="AO84" i="4"/>
  <c r="AO83" i="4"/>
  <c r="AO81" i="4"/>
  <c r="AO80" i="4"/>
  <c r="AO74" i="4"/>
  <c r="AO72" i="4"/>
  <c r="AO67" i="4"/>
  <c r="AO66" i="4"/>
  <c r="AO62" i="4"/>
  <c r="AS64" i="4" s="1"/>
  <c r="AO60" i="4"/>
  <c r="AO56" i="4"/>
  <c r="AO52" i="4"/>
  <c r="AO51" i="4"/>
  <c r="AO49" i="4"/>
  <c r="AO46" i="4"/>
  <c r="AS47" i="4" s="1"/>
  <c r="AO45" i="4"/>
  <c r="AO43" i="4"/>
  <c r="AO39" i="4"/>
  <c r="AO38" i="4"/>
  <c r="AO37" i="4"/>
  <c r="AO36" i="4"/>
  <c r="AO35" i="4"/>
  <c r="AO34" i="4"/>
  <c r="AO32" i="4"/>
  <c r="AO31" i="4"/>
  <c r="AO30" i="4"/>
  <c r="AO33" i="4"/>
  <c r="AO1" i="4"/>
  <c r="AO41" i="4" s="1"/>
  <c r="AO54" i="4" s="1"/>
  <c r="AO69" i="4" s="1"/>
  <c r="AN102" i="4"/>
  <c r="AN96" i="4"/>
  <c r="AN92" i="4"/>
  <c r="AN91" i="4"/>
  <c r="AN90" i="4"/>
  <c r="AN89" i="4"/>
  <c r="AN88" i="4"/>
  <c r="AN84" i="4"/>
  <c r="AN83" i="4"/>
  <c r="AN81" i="4"/>
  <c r="AN80" i="4"/>
  <c r="AN74" i="4"/>
  <c r="AN72" i="4"/>
  <c r="AN67" i="4"/>
  <c r="AN66" i="4"/>
  <c r="AN62" i="4"/>
  <c r="AR64" i="4" s="1"/>
  <c r="AN60" i="4"/>
  <c r="AN56" i="4"/>
  <c r="AN52" i="4"/>
  <c r="AN51" i="4"/>
  <c r="AN49" i="4"/>
  <c r="AN46" i="4"/>
  <c r="AR47" i="4" s="1"/>
  <c r="AN45" i="4"/>
  <c r="AN43" i="4"/>
  <c r="AN1" i="4"/>
  <c r="AN95" i="4" s="1"/>
  <c r="AN101" i="4" s="1"/>
  <c r="AM102" i="4"/>
  <c r="AM96" i="4"/>
  <c r="AM92" i="4"/>
  <c r="AM91" i="4"/>
  <c r="AM90" i="4"/>
  <c r="AM89" i="4"/>
  <c r="AM88" i="4"/>
  <c r="AM84" i="4"/>
  <c r="AM83" i="4"/>
  <c r="AM81" i="4"/>
  <c r="AM80" i="4"/>
  <c r="AM74" i="4"/>
  <c r="AM72" i="4"/>
  <c r="AM67" i="4"/>
  <c r="AM66" i="4"/>
  <c r="AM62" i="4"/>
  <c r="AQ64" i="4" s="1"/>
  <c r="AM60" i="4"/>
  <c r="AM56" i="4"/>
  <c r="AM52" i="4"/>
  <c r="AM51" i="4"/>
  <c r="AM49" i="4"/>
  <c r="AM46" i="4"/>
  <c r="AQ47" i="4" s="1"/>
  <c r="AM45" i="4"/>
  <c r="AM43" i="4"/>
  <c r="AM39" i="4"/>
  <c r="AM38" i="4"/>
  <c r="AM37" i="4"/>
  <c r="AM36" i="4"/>
  <c r="AM35" i="4"/>
  <c r="AM34" i="4"/>
  <c r="AM32" i="4"/>
  <c r="AM31" i="4"/>
  <c r="AM33" i="4"/>
  <c r="AM1" i="4"/>
  <c r="AM41" i="4" s="1"/>
  <c r="AM54" i="4" s="1"/>
  <c r="AM69" i="4" s="1"/>
  <c r="AO66" i="7"/>
  <c r="AO65" i="7"/>
  <c r="AO49" i="7"/>
  <c r="AO46" i="7"/>
  <c r="AO1" i="7"/>
  <c r="AO43" i="7" s="1"/>
  <c r="AN66" i="7"/>
  <c r="AN65" i="7"/>
  <c r="AN49" i="7"/>
  <c r="AN46" i="7"/>
  <c r="AN1" i="7"/>
  <c r="AN43" i="7" s="1"/>
  <c r="AN68" i="7" s="1"/>
  <c r="AM85" i="7"/>
  <c r="AM71" i="7"/>
  <c r="AM70" i="7"/>
  <c r="AM66" i="7"/>
  <c r="AM65" i="7"/>
  <c r="AM49" i="7"/>
  <c r="AM46" i="7"/>
  <c r="AM40" i="7"/>
  <c r="AM39" i="7"/>
  <c r="AM28" i="7"/>
  <c r="AM27" i="7"/>
  <c r="AM1" i="7"/>
  <c r="AM43" i="7" s="1"/>
  <c r="AO1" i="3"/>
  <c r="AN1" i="3"/>
  <c r="AN51" i="3" s="1"/>
  <c r="AM1" i="3"/>
  <c r="AK1" i="3"/>
  <c r="AK51" i="3" s="1"/>
  <c r="AJ1" i="3"/>
  <c r="AJ51" i="3" s="1"/>
  <c r="AI1" i="3"/>
  <c r="AI51" i="3" s="1"/>
  <c r="AH1" i="3"/>
  <c r="AH51" i="3" s="1"/>
  <c r="AG1" i="3"/>
  <c r="AG51" i="3" s="1"/>
  <c r="AF1" i="3"/>
  <c r="AF51" i="3" s="1"/>
  <c r="AE1" i="3"/>
  <c r="AE51" i="3" s="1"/>
  <c r="AD1" i="3"/>
  <c r="AD51" i="3" s="1"/>
  <c r="AC1" i="3"/>
  <c r="AC51" i="3" s="1"/>
  <c r="AB1" i="3"/>
  <c r="AB51" i="3" s="1"/>
  <c r="AA1" i="3"/>
  <c r="AA51" i="3" s="1"/>
  <c r="Z1" i="3"/>
  <c r="Z51" i="3" s="1"/>
  <c r="Y1" i="3"/>
  <c r="Y51" i="3" s="1"/>
  <c r="X1" i="3"/>
  <c r="X51" i="3" s="1"/>
  <c r="W1" i="3"/>
  <c r="W51" i="3" s="1"/>
  <c r="V1" i="3"/>
  <c r="V51" i="3" s="1"/>
  <c r="U1" i="3"/>
  <c r="U51" i="3" s="1"/>
  <c r="T1" i="3"/>
  <c r="T51" i="3" s="1"/>
  <c r="S1" i="3"/>
  <c r="S51" i="3" s="1"/>
  <c r="R1" i="3"/>
  <c r="R51" i="3" s="1"/>
  <c r="Q1" i="3"/>
  <c r="Q51" i="3" s="1"/>
  <c r="P1" i="3"/>
  <c r="P51" i="3" s="1"/>
  <c r="O1" i="3"/>
  <c r="O51" i="3" s="1"/>
  <c r="N1" i="3"/>
  <c r="N51" i="3" s="1"/>
  <c r="M1" i="3"/>
  <c r="M51" i="3" s="1"/>
  <c r="L1" i="3"/>
  <c r="L51" i="3" s="1"/>
  <c r="K1" i="3"/>
  <c r="K51" i="3" s="1"/>
  <c r="J1" i="3"/>
  <c r="J51" i="3" s="1"/>
  <c r="I1" i="3"/>
  <c r="I51" i="3" s="1"/>
  <c r="H1" i="3"/>
  <c r="H51" i="3" s="1"/>
  <c r="G1" i="3"/>
  <c r="G51" i="3" s="1"/>
  <c r="F1" i="3"/>
  <c r="F51" i="3" s="1"/>
  <c r="E1" i="3"/>
  <c r="E51" i="3" s="1"/>
  <c r="AL1" i="3"/>
  <c r="AL116" i="3" s="1"/>
  <c r="AO126" i="3"/>
  <c r="AO124" i="3"/>
  <c r="AO122" i="3"/>
  <c r="AO121" i="3"/>
  <c r="AO119" i="3"/>
  <c r="AO100" i="3"/>
  <c r="AO98" i="3"/>
  <c r="AO97" i="3"/>
  <c r="AO94" i="3"/>
  <c r="AS95" i="3" s="1"/>
  <c r="AO93" i="3"/>
  <c r="AO91" i="3"/>
  <c r="AO87" i="3"/>
  <c r="AO85" i="3"/>
  <c r="AO84" i="3"/>
  <c r="AO81" i="3"/>
  <c r="AS82" i="3" s="1"/>
  <c r="AO80" i="3"/>
  <c r="AO78" i="3"/>
  <c r="AO73" i="3"/>
  <c r="AO71" i="3"/>
  <c r="AO70" i="3"/>
  <c r="AO67" i="3"/>
  <c r="AS68" i="3" s="1"/>
  <c r="AO66" i="3"/>
  <c r="AM126" i="3"/>
  <c r="AM124" i="3"/>
  <c r="AM122" i="3"/>
  <c r="AM121" i="3"/>
  <c r="AM119" i="3"/>
  <c r="AM114" i="3"/>
  <c r="AM113" i="3"/>
  <c r="AM111" i="3"/>
  <c r="AM107" i="3"/>
  <c r="AM106" i="3"/>
  <c r="AM104" i="3"/>
  <c r="AM100" i="3"/>
  <c r="AM98" i="3"/>
  <c r="AM97" i="3"/>
  <c r="AM94" i="3"/>
  <c r="AQ95" i="3" s="1"/>
  <c r="AM93" i="3"/>
  <c r="AM91" i="3"/>
  <c r="AM87" i="3"/>
  <c r="AM85" i="3"/>
  <c r="AM84" i="3"/>
  <c r="AM81" i="3"/>
  <c r="AQ82" i="3" s="1"/>
  <c r="AM80" i="3"/>
  <c r="AM78" i="3"/>
  <c r="AM73" i="3"/>
  <c r="AM71" i="3"/>
  <c r="AM70" i="3"/>
  <c r="AM67" i="3"/>
  <c r="AQ68" i="3" s="1"/>
  <c r="AM66" i="3"/>
  <c r="AM64" i="3"/>
  <c r="AO108" i="6"/>
  <c r="AO102" i="6"/>
  <c r="AO100" i="6"/>
  <c r="AO99" i="6"/>
  <c r="AO94" i="6"/>
  <c r="AO86" i="6"/>
  <c r="AO84" i="6"/>
  <c r="AO82" i="6"/>
  <c r="AP103" i="6" s="1"/>
  <c r="AO81" i="6"/>
  <c r="AO80" i="6"/>
  <c r="AO75" i="6"/>
  <c r="AO73" i="6"/>
  <c r="AO70" i="6"/>
  <c r="AO69" i="6"/>
  <c r="AO66" i="6"/>
  <c r="AO65" i="6"/>
  <c r="AO49" i="6"/>
  <c r="AO48" i="6"/>
  <c r="AO6" i="6"/>
  <c r="AO1" i="6"/>
  <c r="AO130" i="6" s="1"/>
  <c r="AN108" i="6"/>
  <c r="AN102" i="6"/>
  <c r="AN100" i="6"/>
  <c r="AN99" i="6"/>
  <c r="AN94" i="6"/>
  <c r="AN86" i="6"/>
  <c r="AN84" i="6"/>
  <c r="AN82" i="6"/>
  <c r="AN81" i="6"/>
  <c r="AN80" i="6"/>
  <c r="AN75" i="6"/>
  <c r="AN73" i="6"/>
  <c r="AN70" i="6"/>
  <c r="AN69" i="6"/>
  <c r="AN66" i="6"/>
  <c r="AN65" i="6"/>
  <c r="AN49" i="6"/>
  <c r="AN48" i="6"/>
  <c r="AN6" i="6"/>
  <c r="AN1" i="6"/>
  <c r="AN130" i="6" s="1"/>
  <c r="AM108" i="6"/>
  <c r="AM102" i="6"/>
  <c r="AM100" i="6"/>
  <c r="AM99" i="6"/>
  <c r="AM94" i="6"/>
  <c r="AM86" i="6"/>
  <c r="AM84" i="6"/>
  <c r="AM82" i="6"/>
  <c r="AM81" i="6"/>
  <c r="AM80" i="6"/>
  <c r="AM75" i="6"/>
  <c r="AM73" i="6"/>
  <c r="AM70" i="6"/>
  <c r="AM69" i="6"/>
  <c r="AM66" i="6"/>
  <c r="AM65" i="6"/>
  <c r="AM48" i="6"/>
  <c r="AM6" i="6"/>
  <c r="AM1" i="6"/>
  <c r="AM130" i="6" s="1"/>
  <c r="AO28" i="2"/>
  <c r="AO27" i="2"/>
  <c r="AO24" i="2"/>
  <c r="AS25" i="2" s="1"/>
  <c r="AO21" i="2"/>
  <c r="AS22" i="2" s="1"/>
  <c r="AO19" i="2"/>
  <c r="AO18" i="2"/>
  <c r="AO16" i="2"/>
  <c r="AO15" i="2"/>
  <c r="AO1" i="2"/>
  <c r="AM28" i="2"/>
  <c r="AM27" i="2"/>
  <c r="AM24" i="2"/>
  <c r="AQ25" i="2" s="1"/>
  <c r="AM21" i="2"/>
  <c r="AQ22" i="2" s="1"/>
  <c r="AM19" i="2"/>
  <c r="AM18" i="2"/>
  <c r="AM16" i="2"/>
  <c r="AM15" i="2"/>
  <c r="AM1" i="2"/>
  <c r="AO48" i="8"/>
  <c r="AO47" i="8"/>
  <c r="AO45" i="8"/>
  <c r="AO44" i="8"/>
  <c r="AO43" i="8"/>
  <c r="AO42" i="8"/>
  <c r="AO41" i="8"/>
  <c r="AO40" i="8"/>
  <c r="AO20" i="8"/>
  <c r="AM48" i="8"/>
  <c r="AM47" i="8"/>
  <c r="AM45" i="8"/>
  <c r="AM44" i="8"/>
  <c r="AM43" i="8"/>
  <c r="AM42" i="8"/>
  <c r="AM41" i="8"/>
  <c r="AM40" i="8"/>
  <c r="AM1" i="8"/>
  <c r="AM20" i="8" s="1"/>
  <c r="AO64" i="1"/>
  <c r="AO62" i="1"/>
  <c r="AO61" i="1"/>
  <c r="AO47" i="1"/>
  <c r="AS67" i="1" s="1"/>
  <c r="AO36" i="1"/>
  <c r="AO35" i="1"/>
  <c r="AO34" i="1"/>
  <c r="AO33" i="1"/>
  <c r="AO32" i="1"/>
  <c r="AO31" i="1"/>
  <c r="AO30" i="1"/>
  <c r="AO22" i="1"/>
  <c r="AO21" i="1"/>
  <c r="AO20" i="1"/>
  <c r="AO19" i="1"/>
  <c r="AO18" i="1"/>
  <c r="AO17" i="1"/>
  <c r="AO16" i="1"/>
  <c r="AO13" i="1"/>
  <c r="AO10" i="1"/>
  <c r="AO9" i="1"/>
  <c r="AO8" i="1"/>
  <c r="AO7" i="1"/>
  <c r="AO6" i="1"/>
  <c r="AO5" i="1"/>
  <c r="AO4" i="1"/>
  <c r="AO1" i="1"/>
  <c r="AN58" i="4"/>
  <c r="AN50" i="1"/>
  <c r="AM64" i="1"/>
  <c r="AM62" i="1"/>
  <c r="AM61" i="1"/>
  <c r="AM47" i="1"/>
  <c r="AQ67" i="1" s="1"/>
  <c r="AM36" i="1"/>
  <c r="AM35" i="1"/>
  <c r="AM34" i="1"/>
  <c r="AM33" i="1"/>
  <c r="AM32" i="1"/>
  <c r="AM31" i="1"/>
  <c r="AM30" i="1"/>
  <c r="AM22" i="1"/>
  <c r="AM21" i="1"/>
  <c r="AM20" i="1"/>
  <c r="AM19" i="1"/>
  <c r="AM18" i="1"/>
  <c r="AM17" i="1"/>
  <c r="AM16" i="1"/>
  <c r="AM13" i="1"/>
  <c r="AM10" i="1"/>
  <c r="AM9" i="1"/>
  <c r="AM8" i="1"/>
  <c r="AM7" i="1"/>
  <c r="AM6" i="1"/>
  <c r="AM5" i="1"/>
  <c r="AM4" i="1"/>
  <c r="AM1" i="1"/>
  <c r="AO134" i="11"/>
  <c r="AO127" i="11"/>
  <c r="AO126" i="11"/>
  <c r="AO113" i="11"/>
  <c r="AO111" i="11"/>
  <c r="AO110" i="11"/>
  <c r="AO109" i="11"/>
  <c r="AO108" i="11"/>
  <c r="AO106" i="11"/>
  <c r="AO100" i="11"/>
  <c r="AO87" i="11"/>
  <c r="AO2" i="11"/>
  <c r="AO80" i="11"/>
  <c r="AO103" i="11" s="1"/>
  <c r="AO121" i="11" s="1"/>
  <c r="AN2" i="11"/>
  <c r="AN80" i="11"/>
  <c r="AN103" i="11" s="1"/>
  <c r="AN121" i="11" s="1"/>
  <c r="AM134" i="11"/>
  <c r="AM127" i="11"/>
  <c r="AM126" i="11"/>
  <c r="AM113" i="11"/>
  <c r="AM111" i="11"/>
  <c r="AM110" i="11"/>
  <c r="AM109" i="11"/>
  <c r="AM108" i="11"/>
  <c r="AM106" i="11"/>
  <c r="AM100" i="11"/>
  <c r="AM2" i="11"/>
  <c r="AO3" i="10"/>
  <c r="AN3" i="10"/>
  <c r="AM3" i="10"/>
  <c r="AO86" i="9"/>
  <c r="AO84" i="9"/>
  <c r="AO83" i="9"/>
  <c r="AO81" i="9"/>
  <c r="AO54" i="9"/>
  <c r="AM86" i="9"/>
  <c r="AS92" i="12" s="1"/>
  <c r="AM84" i="9"/>
  <c r="AM83" i="9"/>
  <c r="AM81" i="9"/>
  <c r="AM54" i="9"/>
  <c r="AO48" i="9"/>
  <c r="AO18" i="9"/>
  <c r="AM18" i="9"/>
  <c r="AO7" i="9"/>
  <c r="AM7" i="9"/>
  <c r="AK1" i="5"/>
  <c r="AJ1" i="5"/>
  <c r="AI1" i="5"/>
  <c r="AH1" i="5"/>
  <c r="AG1" i="5"/>
  <c r="AF1" i="5"/>
  <c r="AE1" i="5"/>
  <c r="AD1" i="5"/>
  <c r="AC1" i="5"/>
  <c r="AB1" i="5"/>
  <c r="AA1" i="5"/>
  <c r="Z1" i="5"/>
  <c r="Y1" i="5"/>
  <c r="X1" i="5"/>
  <c r="W1" i="5"/>
  <c r="V1" i="5"/>
  <c r="U1" i="5"/>
  <c r="T1" i="5"/>
  <c r="S1" i="5"/>
  <c r="R1" i="5"/>
  <c r="Q1" i="5"/>
  <c r="P1" i="5"/>
  <c r="O1" i="5"/>
  <c r="N1" i="5"/>
  <c r="M1" i="5"/>
  <c r="L1" i="5"/>
  <c r="K1" i="5"/>
  <c r="J1" i="5"/>
  <c r="I1" i="5"/>
  <c r="H1" i="5"/>
  <c r="G1" i="5"/>
  <c r="F1" i="5"/>
  <c r="E1" i="5"/>
  <c r="AL1" i="5"/>
  <c r="AL51" i="5" s="1"/>
  <c r="AL97" i="5"/>
  <c r="AL95" i="5"/>
  <c r="AL89" i="5"/>
  <c r="AL88" i="5"/>
  <c r="AL87" i="5"/>
  <c r="AL80" i="5"/>
  <c r="AL78" i="5"/>
  <c r="AL73" i="5"/>
  <c r="AL72" i="5"/>
  <c r="AL69" i="5"/>
  <c r="AL91" i="5" s="1"/>
  <c r="AP96" i="5" s="1"/>
  <c r="AK1" i="4"/>
  <c r="AJ1" i="4"/>
  <c r="AI1" i="4"/>
  <c r="AH1" i="4"/>
  <c r="AG1" i="4"/>
  <c r="AF1" i="4"/>
  <c r="AE1" i="4"/>
  <c r="AD1" i="4"/>
  <c r="AC1" i="4"/>
  <c r="AB1" i="4"/>
  <c r="AA1" i="4"/>
  <c r="Z1" i="4"/>
  <c r="Y1" i="4"/>
  <c r="X1" i="4"/>
  <c r="W1" i="4"/>
  <c r="V1" i="4"/>
  <c r="U1" i="4"/>
  <c r="T1" i="4"/>
  <c r="S1" i="4"/>
  <c r="R1" i="4"/>
  <c r="Q1" i="4"/>
  <c r="P1" i="4"/>
  <c r="O1" i="4"/>
  <c r="N1" i="4"/>
  <c r="M1" i="4"/>
  <c r="L1" i="4"/>
  <c r="K1" i="4"/>
  <c r="J1" i="4"/>
  <c r="I1" i="4"/>
  <c r="H1" i="4"/>
  <c r="G1" i="4"/>
  <c r="F1" i="4"/>
  <c r="E1" i="4"/>
  <c r="AL1" i="4"/>
  <c r="AL95" i="4" s="1"/>
  <c r="AL101" i="4" s="1"/>
  <c r="AL102" i="4"/>
  <c r="AL96" i="4"/>
  <c r="AL92" i="4"/>
  <c r="AL91" i="4"/>
  <c r="AL90" i="4"/>
  <c r="AL89" i="4"/>
  <c r="AL88" i="4"/>
  <c r="AL84" i="4"/>
  <c r="AL83" i="4"/>
  <c r="AL81" i="4"/>
  <c r="AL80" i="4"/>
  <c r="AL74" i="4"/>
  <c r="AL72" i="4"/>
  <c r="AL67" i="4"/>
  <c r="AL66" i="4"/>
  <c r="AL62" i="4"/>
  <c r="AP64" i="4" s="1"/>
  <c r="AL60" i="4"/>
  <c r="AL56" i="4"/>
  <c r="AL52" i="4"/>
  <c r="AL51" i="4"/>
  <c r="AL49" i="4"/>
  <c r="AL46" i="4"/>
  <c r="AP47" i="4" s="1"/>
  <c r="AL45" i="4"/>
  <c r="AL43" i="4"/>
  <c r="AL39" i="4"/>
  <c r="AL38" i="4"/>
  <c r="AL37" i="4"/>
  <c r="AL36" i="4"/>
  <c r="AL35" i="4"/>
  <c r="AL34" i="4"/>
  <c r="AL32" i="4"/>
  <c r="AL31" i="4"/>
  <c r="AL30" i="4"/>
  <c r="AL21" i="4"/>
  <c r="AL33" i="4" s="1"/>
  <c r="AK1" i="7"/>
  <c r="AJ1" i="7"/>
  <c r="AI1" i="7"/>
  <c r="AH1" i="7"/>
  <c r="AG1" i="7"/>
  <c r="AF1" i="7"/>
  <c r="AE1" i="7"/>
  <c r="AD1" i="7"/>
  <c r="AC1" i="7"/>
  <c r="AB1" i="7"/>
  <c r="AA1" i="7"/>
  <c r="Z1" i="7"/>
  <c r="Y1" i="7"/>
  <c r="X1" i="7"/>
  <c r="W1" i="7"/>
  <c r="V1" i="7"/>
  <c r="U1" i="7"/>
  <c r="T1" i="7"/>
  <c r="S1" i="7"/>
  <c r="R1" i="7"/>
  <c r="Q1" i="7"/>
  <c r="P1" i="7"/>
  <c r="O1" i="7"/>
  <c r="N1" i="7"/>
  <c r="M1" i="7"/>
  <c r="L1" i="7"/>
  <c r="K1" i="7"/>
  <c r="J1" i="7"/>
  <c r="I1" i="7"/>
  <c r="H1" i="7"/>
  <c r="G1" i="7"/>
  <c r="F1" i="7"/>
  <c r="E1" i="7"/>
  <c r="AL1" i="7"/>
  <c r="AL43" i="7" s="1"/>
  <c r="AL84" i="7" s="1"/>
  <c r="AL85" i="7"/>
  <c r="AL74" i="7"/>
  <c r="AL73" i="7"/>
  <c r="AL71" i="7"/>
  <c r="AL70" i="7"/>
  <c r="AL66" i="7"/>
  <c r="AL65" i="7"/>
  <c r="AL49" i="7"/>
  <c r="AL46" i="7"/>
  <c r="AL40" i="7"/>
  <c r="AL39" i="7"/>
  <c r="AL28" i="7"/>
  <c r="AL27" i="7"/>
  <c r="AL126" i="3"/>
  <c r="AL124" i="3"/>
  <c r="AL122" i="3"/>
  <c r="AL121" i="3"/>
  <c r="AL119" i="3"/>
  <c r="AL114" i="3"/>
  <c r="AL113" i="3"/>
  <c r="AL111" i="3"/>
  <c r="AL107" i="3"/>
  <c r="AL106" i="3"/>
  <c r="AL104" i="3"/>
  <c r="AL100" i="3"/>
  <c r="AL98" i="3"/>
  <c r="AL97" i="3"/>
  <c r="AL94" i="3"/>
  <c r="AP95" i="3" s="1"/>
  <c r="AL93" i="3"/>
  <c r="AL91" i="3"/>
  <c r="AL87" i="3"/>
  <c r="AL85" i="3"/>
  <c r="AL84" i="3"/>
  <c r="AL81" i="3"/>
  <c r="AP82" i="3" s="1"/>
  <c r="AL80" i="3"/>
  <c r="AL78" i="3"/>
  <c r="AL73" i="3"/>
  <c r="AL71" i="3"/>
  <c r="AL70" i="3"/>
  <c r="AL67" i="3"/>
  <c r="AP68" i="3" s="1"/>
  <c r="AL66" i="3"/>
  <c r="AL64" i="3"/>
  <c r="AK1" i="6"/>
  <c r="AJ1" i="6"/>
  <c r="AI1" i="6"/>
  <c r="AH1" i="6"/>
  <c r="AG1" i="6"/>
  <c r="AF1" i="6"/>
  <c r="AE1" i="6"/>
  <c r="AD1" i="6"/>
  <c r="AC1" i="6"/>
  <c r="AB1" i="6"/>
  <c r="AA1" i="6"/>
  <c r="Z1" i="6"/>
  <c r="Y1" i="6"/>
  <c r="Y130" i="6" s="1"/>
  <c r="X1" i="6"/>
  <c r="X130" i="6" s="1"/>
  <c r="W1" i="6"/>
  <c r="W130" i="6" s="1"/>
  <c r="V1" i="6"/>
  <c r="V130" i="6" s="1"/>
  <c r="U1" i="6"/>
  <c r="U130" i="6" s="1"/>
  <c r="T1" i="6"/>
  <c r="T130" i="6" s="1"/>
  <c r="S1" i="6"/>
  <c r="S130" i="6" s="1"/>
  <c r="R1" i="6"/>
  <c r="R130" i="6" s="1"/>
  <c r="Q1" i="6"/>
  <c r="Q130" i="6" s="1"/>
  <c r="P1" i="6"/>
  <c r="P130" i="6" s="1"/>
  <c r="O1" i="6"/>
  <c r="O130" i="6" s="1"/>
  <c r="N1" i="6"/>
  <c r="N130" i="6" s="1"/>
  <c r="M1" i="6"/>
  <c r="M130" i="6" s="1"/>
  <c r="L1" i="6"/>
  <c r="L130" i="6" s="1"/>
  <c r="K1" i="6"/>
  <c r="K130" i="6" s="1"/>
  <c r="J1" i="6"/>
  <c r="J130" i="6" s="1"/>
  <c r="I1" i="6"/>
  <c r="I130" i="6" s="1"/>
  <c r="H1" i="6"/>
  <c r="H130" i="6" s="1"/>
  <c r="G1" i="6"/>
  <c r="G130" i="6" s="1"/>
  <c r="F1" i="6"/>
  <c r="F130" i="6" s="1"/>
  <c r="E1" i="6"/>
  <c r="E130" i="6" s="1"/>
  <c r="AL1" i="6"/>
  <c r="AL130" i="6" s="1"/>
  <c r="AL108" i="6"/>
  <c r="AL102" i="6"/>
  <c r="AL100" i="6"/>
  <c r="AL99" i="6"/>
  <c r="AL94" i="6"/>
  <c r="AL86" i="6"/>
  <c r="AL84" i="6"/>
  <c r="AL82" i="6"/>
  <c r="AL81" i="6"/>
  <c r="AL80" i="6"/>
  <c r="AL75" i="6"/>
  <c r="AL73" i="6"/>
  <c r="AL70" i="6"/>
  <c r="AL69" i="6"/>
  <c r="AL66" i="6"/>
  <c r="AL65" i="6"/>
  <c r="AL6" i="6"/>
  <c r="AK1" i="2"/>
  <c r="AJ1" i="2"/>
  <c r="AI1" i="2"/>
  <c r="AH1" i="2"/>
  <c r="AG1" i="2"/>
  <c r="AF1" i="2"/>
  <c r="AE1" i="2"/>
  <c r="AD1" i="2"/>
  <c r="AC1" i="2"/>
  <c r="AB1" i="2"/>
  <c r="AA1" i="2"/>
  <c r="Z1" i="2"/>
  <c r="Y1" i="2"/>
  <c r="X1" i="2"/>
  <c r="W1" i="2"/>
  <c r="V1" i="2"/>
  <c r="U1" i="2"/>
  <c r="T1" i="2"/>
  <c r="S1" i="2"/>
  <c r="R1" i="2"/>
  <c r="Q1" i="2"/>
  <c r="P1" i="2"/>
  <c r="O1" i="2"/>
  <c r="N1" i="2"/>
  <c r="M1" i="2"/>
  <c r="L1" i="2"/>
  <c r="K1" i="2"/>
  <c r="J1" i="2"/>
  <c r="I1" i="2"/>
  <c r="H1" i="2"/>
  <c r="G1" i="2"/>
  <c r="F1" i="2"/>
  <c r="E1" i="2"/>
  <c r="AL1" i="2"/>
  <c r="AL28" i="2"/>
  <c r="AL27" i="2"/>
  <c r="AL24" i="2"/>
  <c r="AP25" i="2" s="1"/>
  <c r="AL21" i="2"/>
  <c r="AP22" i="2" s="1"/>
  <c r="AL19" i="2"/>
  <c r="AL18" i="2"/>
  <c r="AL16" i="2"/>
  <c r="AL15" i="2"/>
  <c r="AK1" i="8"/>
  <c r="AJ1" i="8"/>
  <c r="AI1" i="8"/>
  <c r="AH1" i="8"/>
  <c r="AG1" i="8"/>
  <c r="AF1" i="8"/>
  <c r="AE1" i="8"/>
  <c r="AD1" i="8"/>
  <c r="AC1" i="8"/>
  <c r="AB1" i="8"/>
  <c r="AA1" i="8"/>
  <c r="Z1" i="8"/>
  <c r="Y1" i="8"/>
  <c r="X1" i="8"/>
  <c r="W1" i="8"/>
  <c r="V1" i="8"/>
  <c r="U1" i="8"/>
  <c r="T1" i="8"/>
  <c r="S1" i="8"/>
  <c r="R1" i="8"/>
  <c r="Q1" i="8"/>
  <c r="P1" i="8"/>
  <c r="O1" i="8"/>
  <c r="N1" i="8"/>
  <c r="M1" i="8"/>
  <c r="L1" i="8"/>
  <c r="K1" i="8"/>
  <c r="J1" i="8"/>
  <c r="I1" i="8"/>
  <c r="H1" i="8"/>
  <c r="G1" i="8"/>
  <c r="F1" i="8"/>
  <c r="E1" i="8"/>
  <c r="AL1" i="8"/>
  <c r="AL20" i="8" s="1"/>
  <c r="AL48" i="8"/>
  <c r="AL47" i="8"/>
  <c r="AL45" i="8"/>
  <c r="AL44" i="8"/>
  <c r="AL43" i="8"/>
  <c r="AL42" i="8"/>
  <c r="AL41" i="8"/>
  <c r="AL40" i="8"/>
  <c r="AK1" i="1"/>
  <c r="AJ1" i="1"/>
  <c r="AI1" i="1"/>
  <c r="AH1" i="1"/>
  <c r="AG1" i="1"/>
  <c r="AG30" i="2" s="1"/>
  <c r="AF1" i="1"/>
  <c r="AF30" i="2" s="1"/>
  <c r="AE1" i="1"/>
  <c r="AE30" i="2" s="1"/>
  <c r="AD1" i="1"/>
  <c r="AD30" i="2" s="1"/>
  <c r="AC1" i="1"/>
  <c r="AC30" i="2" s="1"/>
  <c r="AB1" i="1"/>
  <c r="AB30" i="2" s="1"/>
  <c r="AA1" i="1"/>
  <c r="AA30" i="2" s="1"/>
  <c r="Z1" i="1"/>
  <c r="Z30" i="2" s="1"/>
  <c r="Y1" i="1"/>
  <c r="Y30" i="2" s="1"/>
  <c r="X1" i="1"/>
  <c r="X30" i="2" s="1"/>
  <c r="W1" i="1"/>
  <c r="W30" i="2" s="1"/>
  <c r="V1" i="1"/>
  <c r="V30" i="2" s="1"/>
  <c r="U1" i="1"/>
  <c r="U30" i="2" s="1"/>
  <c r="T1" i="1"/>
  <c r="T30" i="2" s="1"/>
  <c r="S1" i="1"/>
  <c r="S30" i="2" s="1"/>
  <c r="R1" i="1"/>
  <c r="R30" i="2" s="1"/>
  <c r="Q1" i="1"/>
  <c r="Q30" i="2" s="1"/>
  <c r="P1" i="1"/>
  <c r="P30" i="2" s="1"/>
  <c r="O1" i="1"/>
  <c r="O30" i="2" s="1"/>
  <c r="N1" i="1"/>
  <c r="N30" i="2" s="1"/>
  <c r="M1" i="1"/>
  <c r="M30" i="2" s="1"/>
  <c r="L1" i="1"/>
  <c r="L30" i="2" s="1"/>
  <c r="K1" i="1"/>
  <c r="K30" i="2" s="1"/>
  <c r="J1" i="1"/>
  <c r="J30" i="2" s="1"/>
  <c r="I1" i="1"/>
  <c r="I30" i="2" s="1"/>
  <c r="H1" i="1"/>
  <c r="H30" i="2" s="1"/>
  <c r="G1" i="1"/>
  <c r="G30" i="2" s="1"/>
  <c r="F1" i="1"/>
  <c r="F30" i="2" s="1"/>
  <c r="E1" i="1"/>
  <c r="E30" i="2" s="1"/>
  <c r="AL1" i="1"/>
  <c r="AL64" i="1"/>
  <c r="AL62" i="1"/>
  <c r="AL61" i="1"/>
  <c r="AL47" i="1"/>
  <c r="AP67" i="1" s="1"/>
  <c r="AL36" i="1"/>
  <c r="AL35" i="1"/>
  <c r="AL34" i="1"/>
  <c r="AL33" i="1"/>
  <c r="AL32" i="1"/>
  <c r="AL31" i="1"/>
  <c r="AL30" i="1"/>
  <c r="AL22" i="1"/>
  <c r="AL21" i="1"/>
  <c r="AL20" i="1"/>
  <c r="AL19" i="1"/>
  <c r="AL18" i="1"/>
  <c r="AL17" i="1"/>
  <c r="AL16" i="1"/>
  <c r="AL13" i="1"/>
  <c r="AL10" i="1"/>
  <c r="AL9" i="1"/>
  <c r="AL8" i="1"/>
  <c r="AL7" i="1"/>
  <c r="AL6" i="1"/>
  <c r="AL5" i="1"/>
  <c r="AL4" i="1"/>
  <c r="AK2" i="11"/>
  <c r="AJ2" i="11"/>
  <c r="AI2" i="11"/>
  <c r="AH2" i="11"/>
  <c r="AG2" i="11"/>
  <c r="AF2" i="11"/>
  <c r="AE2" i="11"/>
  <c r="AD2" i="11"/>
  <c r="AC2" i="11"/>
  <c r="AB2" i="11"/>
  <c r="AA2" i="11"/>
  <c r="Z2" i="11"/>
  <c r="Y2" i="11"/>
  <c r="X2" i="11"/>
  <c r="W2" i="11"/>
  <c r="V2" i="11"/>
  <c r="U2" i="11"/>
  <c r="T2" i="11"/>
  <c r="S2" i="11"/>
  <c r="R2" i="11"/>
  <c r="Q2" i="11"/>
  <c r="P2" i="11"/>
  <c r="O2" i="11"/>
  <c r="N2" i="11"/>
  <c r="M2" i="11"/>
  <c r="L2" i="11"/>
  <c r="K2" i="11"/>
  <c r="J2" i="11"/>
  <c r="I2" i="11"/>
  <c r="H2" i="11"/>
  <c r="G2" i="11"/>
  <c r="F2" i="11"/>
  <c r="E2" i="11"/>
  <c r="AL2" i="11"/>
  <c r="AL134" i="11"/>
  <c r="AL127" i="11"/>
  <c r="AL126" i="11"/>
  <c r="AL113" i="11"/>
  <c r="AL111" i="11"/>
  <c r="AL110" i="11"/>
  <c r="AL109" i="11"/>
  <c r="AL108" i="11"/>
  <c r="AL106" i="11"/>
  <c r="AL100" i="11"/>
  <c r="AL87" i="11"/>
  <c r="AK3" i="10"/>
  <c r="AJ3" i="10"/>
  <c r="AI3" i="10"/>
  <c r="AH3" i="10"/>
  <c r="AG3" i="10"/>
  <c r="AF3" i="10"/>
  <c r="AE3" i="10"/>
  <c r="AD3" i="10"/>
  <c r="AC3" i="10"/>
  <c r="AB3" i="10"/>
  <c r="AA3" i="10"/>
  <c r="Z3" i="10"/>
  <c r="Y3" i="10"/>
  <c r="X3" i="10"/>
  <c r="W3" i="10"/>
  <c r="V3" i="10"/>
  <c r="U3" i="10"/>
  <c r="T3" i="10"/>
  <c r="S3" i="10"/>
  <c r="R3" i="10"/>
  <c r="Q3" i="10"/>
  <c r="P3" i="10"/>
  <c r="O3" i="10"/>
  <c r="N3" i="10"/>
  <c r="M3" i="10"/>
  <c r="L3" i="10"/>
  <c r="K3" i="10"/>
  <c r="J3" i="10"/>
  <c r="I3" i="10"/>
  <c r="H3" i="10"/>
  <c r="G3" i="10"/>
  <c r="F3" i="10"/>
  <c r="E3" i="10"/>
  <c r="AL3" i="10"/>
  <c r="AL86" i="9"/>
  <c r="AR92" i="12" s="1"/>
  <c r="AL84" i="9"/>
  <c r="AL83" i="9"/>
  <c r="AL81" i="9"/>
  <c r="AL54" i="9"/>
  <c r="AL18" i="9"/>
  <c r="AL7" i="9"/>
  <c r="AL49" i="6" l="1"/>
  <c r="AM49" i="6"/>
  <c r="G39" i="15"/>
  <c r="G120" i="15" s="1"/>
  <c r="G16" i="15"/>
  <c r="G40" i="15"/>
  <c r="H7" i="15"/>
  <c r="H31" i="15"/>
  <c r="J13" i="15"/>
  <c r="J37" i="15"/>
  <c r="J11" i="15"/>
  <c r="G18" i="15"/>
  <c r="G42" i="15"/>
  <c r="G49" i="15" s="1"/>
  <c r="H9" i="15"/>
  <c r="L10" i="15" s="1"/>
  <c r="H33" i="15"/>
  <c r="J15" i="15"/>
  <c r="J39" i="15"/>
  <c r="J120" i="15" s="1"/>
  <c r="H11" i="15"/>
  <c r="H35" i="15"/>
  <c r="J16" i="15"/>
  <c r="J40" i="15"/>
  <c r="J35" i="15"/>
  <c r="G66" i="15"/>
  <c r="G7" i="15"/>
  <c r="G31" i="15"/>
  <c r="H13" i="15"/>
  <c r="H37" i="15"/>
  <c r="J18" i="15"/>
  <c r="J42" i="15"/>
  <c r="G15" i="15"/>
  <c r="H66" i="15"/>
  <c r="G9" i="15"/>
  <c r="H15" i="15"/>
  <c r="H39" i="15"/>
  <c r="H120" i="15" s="1"/>
  <c r="J66" i="15"/>
  <c r="G33" i="15"/>
  <c r="G11" i="15"/>
  <c r="G35" i="15"/>
  <c r="H16" i="15"/>
  <c r="H40" i="15"/>
  <c r="J7" i="15"/>
  <c r="J31" i="15"/>
  <c r="G13" i="15"/>
  <c r="G37" i="15"/>
  <c r="G119" i="15" s="1"/>
  <c r="H18" i="15"/>
  <c r="H42" i="15"/>
  <c r="J9" i="15"/>
  <c r="J33" i="15"/>
  <c r="G2" i="15"/>
  <c r="H2" i="15"/>
  <c r="H22" i="15"/>
  <c r="H113" i="15" s="1"/>
  <c r="G22" i="15"/>
  <c r="G113" i="15" s="1"/>
  <c r="J2" i="15"/>
  <c r="J22" i="15"/>
  <c r="J113" i="15" s="1"/>
  <c r="AH30" i="2"/>
  <c r="C2" i="15"/>
  <c r="AI30" i="2"/>
  <c r="D2" i="15"/>
  <c r="AJ30" i="2"/>
  <c r="E2" i="15"/>
  <c r="AK30" i="2"/>
  <c r="F2" i="15"/>
  <c r="BZ9" i="1"/>
  <c r="BZ4" i="1"/>
  <c r="BZ6" i="1"/>
  <c r="BZ10" i="1"/>
  <c r="BZ5" i="1"/>
  <c r="BZ7" i="1"/>
  <c r="BZ8" i="1"/>
  <c r="AQ53" i="1"/>
  <c r="AS53" i="1"/>
  <c r="AQ131" i="11"/>
  <c r="AQ97" i="4"/>
  <c r="AO116" i="3"/>
  <c r="AO51" i="3"/>
  <c r="AL102" i="3"/>
  <c r="AL51" i="3"/>
  <c r="AM61" i="3"/>
  <c r="AM76" i="3" s="1"/>
  <c r="AM89" i="3" s="1"/>
  <c r="AM51" i="3"/>
  <c r="AM50" i="1"/>
  <c r="AM30" i="2"/>
  <c r="AO50" i="1"/>
  <c r="AO30" i="2"/>
  <c r="AL50" i="1"/>
  <c r="AL30" i="2"/>
  <c r="AD120" i="6"/>
  <c r="AD130" i="6"/>
  <c r="AE120" i="6"/>
  <c r="AE130" i="6"/>
  <c r="AF120" i="6"/>
  <c r="AF130" i="6"/>
  <c r="AG120" i="6"/>
  <c r="AG130" i="6"/>
  <c r="Z120" i="6"/>
  <c r="Z130" i="6"/>
  <c r="AH120" i="6"/>
  <c r="AH130" i="6"/>
  <c r="AA120" i="6"/>
  <c r="AA130" i="6"/>
  <c r="AI120" i="6"/>
  <c r="AI130" i="6"/>
  <c r="AB120" i="6"/>
  <c r="AB130" i="6"/>
  <c r="AJ120" i="6"/>
  <c r="AJ130" i="6"/>
  <c r="AC120" i="6"/>
  <c r="AC130" i="6"/>
  <c r="AK120" i="6"/>
  <c r="AK130" i="6"/>
  <c r="AP115" i="11"/>
  <c r="AP118" i="11" s="1"/>
  <c r="AS131" i="11"/>
  <c r="AP60" i="9"/>
  <c r="AS59" i="9"/>
  <c r="AN60" i="9"/>
  <c r="AQ59" i="9"/>
  <c r="AL87" i="9"/>
  <c r="AP59" i="9"/>
  <c r="AU92" i="12"/>
  <c r="AT92" i="12"/>
  <c r="AP97" i="4"/>
  <c r="AL123" i="11"/>
  <c r="AP131" i="11"/>
  <c r="AO65" i="1"/>
  <c r="AP54" i="1"/>
  <c r="AL65" i="1"/>
  <c r="AP53" i="1"/>
  <c r="AO5" i="8"/>
  <c r="AO26" i="8" s="1"/>
  <c r="AS34" i="8" s="1"/>
  <c r="AM131" i="11"/>
  <c r="AN115" i="11"/>
  <c r="AN118" i="11" s="1"/>
  <c r="AU452" i="12"/>
  <c r="AU447" i="12"/>
  <c r="AU446" i="12"/>
  <c r="AU475" i="12"/>
  <c r="AU486" i="12"/>
  <c r="AU469" i="12"/>
  <c r="AU408" i="12"/>
  <c r="AU485" i="12"/>
  <c r="AU505" i="12"/>
  <c r="AU474" i="12"/>
  <c r="AU465" i="12"/>
  <c r="AU467" i="12"/>
  <c r="AU466" i="12"/>
  <c r="AU468" i="12"/>
  <c r="AT452" i="12"/>
  <c r="AT505" i="12"/>
  <c r="AT486" i="12"/>
  <c r="AT468" i="12"/>
  <c r="AT447" i="12"/>
  <c r="AT474" i="12"/>
  <c r="AT408" i="12"/>
  <c r="AT446" i="12"/>
  <c r="AT465" i="12"/>
  <c r="AT485" i="12"/>
  <c r="AT475" i="12"/>
  <c r="AT467" i="12"/>
  <c r="AT466" i="12"/>
  <c r="AT469" i="12"/>
  <c r="AS505" i="12"/>
  <c r="AS466" i="12"/>
  <c r="AS446" i="12"/>
  <c r="AS485" i="12"/>
  <c r="AS452" i="12"/>
  <c r="AS465" i="12"/>
  <c r="AS447" i="12"/>
  <c r="AS486" i="12"/>
  <c r="AS475" i="12"/>
  <c r="AS408" i="12"/>
  <c r="AS474" i="12"/>
  <c r="AS467" i="12"/>
  <c r="AS468" i="12"/>
  <c r="AS469" i="12"/>
  <c r="AR465" i="12"/>
  <c r="AR446" i="12"/>
  <c r="AR475" i="12"/>
  <c r="AR467" i="12"/>
  <c r="AR447" i="12"/>
  <c r="AR485" i="12"/>
  <c r="AR486" i="12"/>
  <c r="AR505" i="12"/>
  <c r="AR474" i="12"/>
  <c r="AR469" i="12"/>
  <c r="AR408" i="12"/>
  <c r="AR468" i="12"/>
  <c r="AR452" i="12"/>
  <c r="AR466" i="12"/>
  <c r="AQ452" i="12"/>
  <c r="AQ446" i="12"/>
  <c r="AP446" i="12"/>
  <c r="AP452" i="12"/>
  <c r="AO452" i="12"/>
  <c r="AO446" i="12"/>
  <c r="AN452" i="12"/>
  <c r="AN446" i="12"/>
  <c r="AM446" i="12"/>
  <c r="AM452" i="12"/>
  <c r="AL446" i="12"/>
  <c r="AL452" i="12"/>
  <c r="AK446" i="12"/>
  <c r="AK452" i="12"/>
  <c r="AJ452" i="12"/>
  <c r="AJ446" i="12"/>
  <c r="AI446" i="12"/>
  <c r="AI452" i="12"/>
  <c r="AH446" i="12"/>
  <c r="AH452" i="12"/>
  <c r="AG452" i="12"/>
  <c r="AG446" i="12"/>
  <c r="AF446" i="12"/>
  <c r="AF452" i="12"/>
  <c r="AE446" i="12"/>
  <c r="AE452" i="12"/>
  <c r="AD446" i="12"/>
  <c r="AD452" i="12"/>
  <c r="AC452" i="12"/>
  <c r="AC446" i="12"/>
  <c r="AB452" i="12"/>
  <c r="AB446" i="12"/>
  <c r="AU367" i="12"/>
  <c r="AU366" i="12"/>
  <c r="AT367" i="12"/>
  <c r="AT366" i="12"/>
  <c r="AS367" i="12"/>
  <c r="AS366" i="12"/>
  <c r="AR366" i="12"/>
  <c r="AR367" i="12"/>
  <c r="AQ367" i="12"/>
  <c r="AQ366" i="12"/>
  <c r="AP366" i="12"/>
  <c r="AP367" i="12"/>
  <c r="AO366" i="12"/>
  <c r="AO367" i="12"/>
  <c r="AN367" i="12"/>
  <c r="AN366" i="12"/>
  <c r="AM367" i="12"/>
  <c r="AM366" i="12"/>
  <c r="AL366" i="12"/>
  <c r="AL367" i="12"/>
  <c r="AK367" i="12"/>
  <c r="AK366" i="12"/>
  <c r="AJ366" i="12"/>
  <c r="AJ367" i="12"/>
  <c r="AI366" i="12"/>
  <c r="AI367" i="12"/>
  <c r="AH367" i="12"/>
  <c r="AH366" i="12"/>
  <c r="AG367" i="12"/>
  <c r="AG366" i="12"/>
  <c r="AF366" i="12"/>
  <c r="AF367" i="12"/>
  <c r="AE367" i="12"/>
  <c r="AE366" i="12"/>
  <c r="AD367" i="12"/>
  <c r="AD366" i="12"/>
  <c r="AB367" i="12"/>
  <c r="AC366" i="12"/>
  <c r="AC367" i="12"/>
  <c r="AB366" i="12"/>
  <c r="AU432" i="12"/>
  <c r="AU426" i="12"/>
  <c r="AT426" i="12"/>
  <c r="AT432" i="12"/>
  <c r="AS432" i="12"/>
  <c r="AS426" i="12"/>
  <c r="AR432" i="12"/>
  <c r="AR426" i="12"/>
  <c r="AQ426" i="12"/>
  <c r="AQ432" i="12"/>
  <c r="AP432" i="12"/>
  <c r="AP426" i="12"/>
  <c r="AO426" i="12"/>
  <c r="AO432" i="12"/>
  <c r="AN426" i="12"/>
  <c r="AN432" i="12"/>
  <c r="AM432" i="12"/>
  <c r="AM426" i="12"/>
  <c r="AL432" i="12"/>
  <c r="AL426" i="12"/>
  <c r="AK426" i="12"/>
  <c r="AK432" i="12"/>
  <c r="AJ426" i="12"/>
  <c r="AJ432" i="12"/>
  <c r="AI426" i="12"/>
  <c r="AI432" i="12"/>
  <c r="AH432" i="12"/>
  <c r="AH426" i="12"/>
  <c r="AG426" i="12"/>
  <c r="AG432" i="12"/>
  <c r="AF426" i="12"/>
  <c r="AF432" i="12"/>
  <c r="AE426" i="12"/>
  <c r="AE432" i="12"/>
  <c r="AD432" i="12"/>
  <c r="AD426" i="12"/>
  <c r="AB432" i="12"/>
  <c r="AB426" i="12"/>
  <c r="AC432" i="12"/>
  <c r="AC426" i="12"/>
  <c r="AU234" i="12"/>
  <c r="AU247" i="12"/>
  <c r="AU228" i="12"/>
  <c r="AU229" i="12"/>
  <c r="AT229" i="12"/>
  <c r="AT234" i="12"/>
  <c r="AT228" i="12"/>
  <c r="AT247" i="12"/>
  <c r="AS234" i="12"/>
  <c r="AS229" i="12"/>
  <c r="AS228" i="12"/>
  <c r="AS247" i="12"/>
  <c r="AR229" i="12"/>
  <c r="AR228" i="12"/>
  <c r="AR234" i="12"/>
  <c r="AR247" i="12"/>
  <c r="AQ228" i="12"/>
  <c r="AP228" i="12"/>
  <c r="AO228" i="12"/>
  <c r="AN228" i="12"/>
  <c r="AM228" i="12"/>
  <c r="AL228" i="12"/>
  <c r="AK228" i="12"/>
  <c r="AJ228" i="12"/>
  <c r="AI228" i="12"/>
  <c r="AH228" i="12"/>
  <c r="AG228" i="12"/>
  <c r="AF228" i="12"/>
  <c r="AE228" i="12"/>
  <c r="AD228" i="12"/>
  <c r="AC228" i="12"/>
  <c r="AB228" i="12"/>
  <c r="AU394" i="12"/>
  <c r="AU389" i="12"/>
  <c r="AU395" i="12"/>
  <c r="AU296" i="12"/>
  <c r="AU290" i="12"/>
  <c r="AU306" i="12"/>
  <c r="AU388" i="12"/>
  <c r="AU276" i="12"/>
  <c r="AU294" i="12"/>
  <c r="AU269" i="12"/>
  <c r="AU289" i="12"/>
  <c r="AU268" i="12"/>
  <c r="AU308" i="12"/>
  <c r="AU315" i="12"/>
  <c r="AU387" i="12"/>
  <c r="AU328" i="12"/>
  <c r="AU295" i="12"/>
  <c r="AU317" i="12"/>
  <c r="AU329" i="12"/>
  <c r="AU316" i="12"/>
  <c r="AU288" i="12"/>
  <c r="AU270" i="12"/>
  <c r="AU307" i="12"/>
  <c r="AU396" i="12"/>
  <c r="AT290" i="12"/>
  <c r="AT289" i="12"/>
  <c r="AT276" i="12"/>
  <c r="AT395" i="12"/>
  <c r="AT388" i="12"/>
  <c r="AT394" i="12"/>
  <c r="AT396" i="12"/>
  <c r="AT387" i="12"/>
  <c r="AT296" i="12"/>
  <c r="AT268" i="12"/>
  <c r="AT295" i="12"/>
  <c r="AT389" i="12"/>
  <c r="AT328" i="12"/>
  <c r="AT294" i="12"/>
  <c r="AT329" i="12"/>
  <c r="AT270" i="12"/>
  <c r="AT269" i="12"/>
  <c r="AT288" i="12"/>
  <c r="AS290" i="12"/>
  <c r="AS288" i="12"/>
  <c r="AS394" i="12"/>
  <c r="AS396" i="12"/>
  <c r="AT317" i="12"/>
  <c r="AS295" i="12"/>
  <c r="AS289" i="12"/>
  <c r="AT316" i="12"/>
  <c r="AT306" i="12"/>
  <c r="AS296" i="12"/>
  <c r="AS269" i="12"/>
  <c r="AS387" i="12"/>
  <c r="AS268" i="12"/>
  <c r="AS329" i="12"/>
  <c r="AS389" i="12"/>
  <c r="AS270" i="12"/>
  <c r="AS388" i="12"/>
  <c r="AT315" i="12"/>
  <c r="AS294" i="12"/>
  <c r="AS276" i="12"/>
  <c r="AT308" i="12"/>
  <c r="AS395" i="12"/>
  <c r="AS328" i="12"/>
  <c r="AT307" i="12"/>
  <c r="AR290" i="12"/>
  <c r="AR396" i="12"/>
  <c r="AS315" i="12"/>
  <c r="AS306" i="12"/>
  <c r="AR294" i="12"/>
  <c r="AS307" i="12"/>
  <c r="AR395" i="12"/>
  <c r="AS316" i="12"/>
  <c r="AS308" i="12"/>
  <c r="AR288" i="12"/>
  <c r="AR269" i="12"/>
  <c r="AS317" i="12"/>
  <c r="AR289" i="12"/>
  <c r="AR328" i="12"/>
  <c r="AR270" i="12"/>
  <c r="AR295" i="12"/>
  <c r="AR268" i="12"/>
  <c r="AR387" i="12"/>
  <c r="AR296" i="12"/>
  <c r="AR276" i="12"/>
  <c r="AR389" i="12"/>
  <c r="AR388" i="12"/>
  <c r="AR329" i="12"/>
  <c r="AR394" i="12"/>
  <c r="AQ268" i="12"/>
  <c r="AR316" i="12"/>
  <c r="AQ269" i="12"/>
  <c r="AR315" i="12"/>
  <c r="AQ270" i="12"/>
  <c r="AR317" i="12"/>
  <c r="AR308" i="12"/>
  <c r="AQ394" i="12"/>
  <c r="AR307" i="12"/>
  <c r="AQ396" i="12"/>
  <c r="AR306" i="12"/>
  <c r="AQ395" i="12"/>
  <c r="AQ315" i="12"/>
  <c r="AQ317" i="12"/>
  <c r="AP270" i="12"/>
  <c r="AP269" i="12"/>
  <c r="AP268" i="12"/>
  <c r="AP394" i="12"/>
  <c r="AP396" i="12"/>
  <c r="AP395" i="12"/>
  <c r="AQ316" i="12"/>
  <c r="AP316" i="12"/>
  <c r="AO394" i="12"/>
  <c r="AO395" i="12"/>
  <c r="AO268" i="12"/>
  <c r="AO396" i="12"/>
  <c r="AO270" i="12"/>
  <c r="AP317" i="12"/>
  <c r="AO269" i="12"/>
  <c r="AP315" i="12"/>
  <c r="AN269" i="12"/>
  <c r="AO316" i="12"/>
  <c r="AN270" i="12"/>
  <c r="AN395" i="12"/>
  <c r="AN396" i="12"/>
  <c r="AN268" i="12"/>
  <c r="AN394" i="12"/>
  <c r="AO315" i="12"/>
  <c r="AO317" i="12"/>
  <c r="AM270" i="12"/>
  <c r="AN317" i="12"/>
  <c r="AM395" i="12"/>
  <c r="AM394" i="12"/>
  <c r="AM396" i="12"/>
  <c r="AM268" i="12"/>
  <c r="AN315" i="12"/>
  <c r="AM269" i="12"/>
  <c r="AN316" i="12"/>
  <c r="AL395" i="12"/>
  <c r="AL396" i="12"/>
  <c r="AL269" i="12"/>
  <c r="AM316" i="12"/>
  <c r="AM315" i="12"/>
  <c r="AL268" i="12"/>
  <c r="AM317" i="12"/>
  <c r="AL270" i="12"/>
  <c r="AL394" i="12"/>
  <c r="AL317" i="12"/>
  <c r="AK268" i="12"/>
  <c r="AL315" i="12"/>
  <c r="AK269" i="12"/>
  <c r="AK270" i="12"/>
  <c r="AK394" i="12"/>
  <c r="AK395" i="12"/>
  <c r="AK396" i="12"/>
  <c r="AL316" i="12"/>
  <c r="AK315" i="12"/>
  <c r="AK316" i="12"/>
  <c r="AJ269" i="12"/>
  <c r="AK317" i="12"/>
  <c r="AJ270" i="12"/>
  <c r="AJ268" i="12"/>
  <c r="AJ395" i="12"/>
  <c r="AJ396" i="12"/>
  <c r="AJ394" i="12"/>
  <c r="AJ315" i="12"/>
  <c r="AJ316" i="12"/>
  <c r="AI394" i="12"/>
  <c r="AJ317" i="12"/>
  <c r="AI395" i="12"/>
  <c r="AI396" i="12"/>
  <c r="AI268" i="12"/>
  <c r="AI270" i="12"/>
  <c r="AI269" i="12"/>
  <c r="AI315" i="12"/>
  <c r="AH394" i="12"/>
  <c r="AH395" i="12"/>
  <c r="AH270" i="12"/>
  <c r="AH396" i="12"/>
  <c r="AH268" i="12"/>
  <c r="AI317" i="12"/>
  <c r="AH269" i="12"/>
  <c r="AI316" i="12"/>
  <c r="AG269" i="12"/>
  <c r="AH316" i="12"/>
  <c r="AG268" i="12"/>
  <c r="AG270" i="12"/>
  <c r="AG394" i="12"/>
  <c r="AG396" i="12"/>
  <c r="AG395" i="12"/>
  <c r="AH317" i="12"/>
  <c r="AH315" i="12"/>
  <c r="AG316" i="12"/>
  <c r="AF394" i="12"/>
  <c r="AF395" i="12"/>
  <c r="AF270" i="12"/>
  <c r="AG315" i="12"/>
  <c r="AF269" i="12"/>
  <c r="AF268" i="12"/>
  <c r="AG317" i="12"/>
  <c r="AF396" i="12"/>
  <c r="AE270" i="12"/>
  <c r="AF317" i="12"/>
  <c r="AE268" i="12"/>
  <c r="AF316" i="12"/>
  <c r="AE396" i="12"/>
  <c r="AE395" i="12"/>
  <c r="AE394" i="12"/>
  <c r="AE269" i="12"/>
  <c r="AF315" i="12"/>
  <c r="AD268" i="12"/>
  <c r="AE315" i="12"/>
  <c r="AE317" i="12"/>
  <c r="AD396" i="12"/>
  <c r="AD270" i="12"/>
  <c r="AD395" i="12"/>
  <c r="AD394" i="12"/>
  <c r="AD269" i="12"/>
  <c r="AE316" i="12"/>
  <c r="AC270" i="12"/>
  <c r="AB395" i="12"/>
  <c r="AC396" i="12"/>
  <c r="AB269" i="12"/>
  <c r="AB396" i="12"/>
  <c r="AB268" i="12"/>
  <c r="AB394" i="12"/>
  <c r="AD316" i="12"/>
  <c r="AC268" i="12"/>
  <c r="AB270" i="12"/>
  <c r="AC394" i="12"/>
  <c r="AD315" i="12"/>
  <c r="AC269" i="12"/>
  <c r="AC395" i="12"/>
  <c r="AD317" i="12"/>
  <c r="AB315" i="12"/>
  <c r="AB317" i="12"/>
  <c r="AC315" i="12"/>
  <c r="AC316" i="12"/>
  <c r="AC317" i="12"/>
  <c r="AB316" i="12"/>
  <c r="AB48" i="12"/>
  <c r="AI50" i="12"/>
  <c r="AU64" i="12"/>
  <c r="AI48" i="12"/>
  <c r="AI47" i="12"/>
  <c r="AI46" i="12"/>
  <c r="AB46" i="12"/>
  <c r="AU63" i="12"/>
  <c r="AB49" i="12"/>
  <c r="AB45" i="12"/>
  <c r="AB47" i="12"/>
  <c r="AI44" i="12"/>
  <c r="AB50" i="12"/>
  <c r="AI49" i="12"/>
  <c r="AI45" i="12"/>
  <c r="AB44" i="12"/>
  <c r="AT64" i="12"/>
  <c r="AT63" i="12"/>
  <c r="AS63" i="12"/>
  <c r="AS64" i="12"/>
  <c r="AR64" i="12"/>
  <c r="AR63" i="12"/>
  <c r="AQ63" i="12"/>
  <c r="AP63" i="12"/>
  <c r="AO63" i="12"/>
  <c r="AN63" i="12"/>
  <c r="AM63" i="12"/>
  <c r="AL63" i="12"/>
  <c r="AK63" i="12"/>
  <c r="AJ63" i="12"/>
  <c r="AI63" i="12"/>
  <c r="AH63" i="12"/>
  <c r="AG63" i="12"/>
  <c r="AF63" i="12"/>
  <c r="AE63" i="12"/>
  <c r="AD63" i="12"/>
  <c r="AC63" i="12"/>
  <c r="AB63" i="12"/>
  <c r="AU206" i="12"/>
  <c r="AU106" i="12"/>
  <c r="AU147" i="12"/>
  <c r="AU253" i="12"/>
  <c r="AU126" i="12"/>
  <c r="AU152" i="12"/>
  <c r="AU212" i="12"/>
  <c r="AU132" i="12"/>
  <c r="AU186" i="12"/>
  <c r="AU172" i="12"/>
  <c r="AU192" i="12"/>
  <c r="AU146" i="12"/>
  <c r="AU166" i="12"/>
  <c r="AU112" i="12"/>
  <c r="AT146" i="12"/>
  <c r="AT126" i="12"/>
  <c r="AT186" i="12"/>
  <c r="AT206" i="12"/>
  <c r="AT172" i="12"/>
  <c r="AT152" i="12"/>
  <c r="AT112" i="12"/>
  <c r="AT147" i="12"/>
  <c r="AT166" i="12"/>
  <c r="AT132" i="12"/>
  <c r="AT106" i="12"/>
  <c r="AT212" i="12"/>
  <c r="AS152" i="12"/>
  <c r="AT192" i="12"/>
  <c r="AS106" i="12"/>
  <c r="AS172" i="12"/>
  <c r="AS166" i="12"/>
  <c r="AT253" i="12"/>
  <c r="AS126" i="12"/>
  <c r="AS212" i="12"/>
  <c r="AS146" i="12"/>
  <c r="AS112" i="12"/>
  <c r="AS147" i="12"/>
  <c r="AS206" i="12"/>
  <c r="AS186" i="12"/>
  <c r="AS132" i="12"/>
  <c r="AR112" i="12"/>
  <c r="AR132" i="12"/>
  <c r="AR152" i="12"/>
  <c r="AS253" i="12"/>
  <c r="AR172" i="12"/>
  <c r="AR186" i="12"/>
  <c r="AR126" i="12"/>
  <c r="AR166" i="12"/>
  <c r="AR212" i="12"/>
  <c r="AR206" i="12"/>
  <c r="AR146" i="12"/>
  <c r="AS192" i="12"/>
  <c r="AR147" i="12"/>
  <c r="AR253" i="12"/>
  <c r="AQ132" i="12"/>
  <c r="AQ206" i="12"/>
  <c r="AQ172" i="12"/>
  <c r="AR192" i="12"/>
  <c r="AQ147" i="12"/>
  <c r="AQ112" i="12"/>
  <c r="AQ212" i="12"/>
  <c r="AP172" i="12"/>
  <c r="AP132" i="12"/>
  <c r="AP147" i="12"/>
  <c r="AP112" i="12"/>
  <c r="AQ192" i="12"/>
  <c r="AP206" i="12"/>
  <c r="AP212" i="12"/>
  <c r="AO112" i="12"/>
  <c r="AO206" i="12"/>
  <c r="AO132" i="12"/>
  <c r="AO147" i="12"/>
  <c r="AP192" i="12"/>
  <c r="AO172" i="12"/>
  <c r="AO212" i="12"/>
  <c r="AN132" i="12"/>
  <c r="AN206" i="12"/>
  <c r="AN112" i="12"/>
  <c r="AO192" i="12"/>
  <c r="AN212" i="12"/>
  <c r="AN172" i="12"/>
  <c r="AN147" i="12"/>
  <c r="AM172" i="12"/>
  <c r="AM112" i="12"/>
  <c r="AM206" i="12"/>
  <c r="AM147" i="12"/>
  <c r="AM212" i="12"/>
  <c r="AM132" i="12"/>
  <c r="AN192" i="12"/>
  <c r="AL112" i="12"/>
  <c r="AL172" i="12"/>
  <c r="AL147" i="12"/>
  <c r="AL212" i="12"/>
  <c r="AL206" i="12"/>
  <c r="AL132" i="12"/>
  <c r="AM192" i="12"/>
  <c r="AK132" i="12"/>
  <c r="AK206" i="12"/>
  <c r="AK212" i="12"/>
  <c r="AK147" i="12"/>
  <c r="AK112" i="12"/>
  <c r="AK172" i="12"/>
  <c r="AL192" i="12"/>
  <c r="AJ172" i="12"/>
  <c r="AJ112" i="12"/>
  <c r="AJ147" i="12"/>
  <c r="AK192" i="12"/>
  <c r="AJ132" i="12"/>
  <c r="AJ206" i="12"/>
  <c r="AJ212" i="12"/>
  <c r="AJ192" i="12"/>
  <c r="AI112" i="12"/>
  <c r="AI212" i="12"/>
  <c r="AI132" i="12"/>
  <c r="AI147" i="12"/>
  <c r="AI206" i="12"/>
  <c r="AI172" i="12"/>
  <c r="AH172" i="12"/>
  <c r="AH212" i="12"/>
  <c r="AI192" i="12"/>
  <c r="AH206" i="12"/>
  <c r="AH132" i="12"/>
  <c r="AH147" i="12"/>
  <c r="AH192" i="12"/>
  <c r="AG172" i="12"/>
  <c r="AG212" i="12"/>
  <c r="AG206" i="12"/>
  <c r="AG147" i="12"/>
  <c r="AG132" i="12"/>
  <c r="AF206" i="12"/>
  <c r="AF132" i="12"/>
  <c r="AF172" i="12"/>
  <c r="AG192" i="12"/>
  <c r="AF147" i="12"/>
  <c r="AF212" i="12"/>
  <c r="AE172" i="12"/>
  <c r="AE132" i="12"/>
  <c r="AE212" i="12"/>
  <c r="AE206" i="12"/>
  <c r="AE147" i="12"/>
  <c r="AF192" i="12"/>
  <c r="AE192" i="12"/>
  <c r="AD132" i="12"/>
  <c r="AD172" i="12"/>
  <c r="AD212" i="12"/>
  <c r="AD206" i="12"/>
  <c r="AD147" i="12"/>
  <c r="AB172" i="12"/>
  <c r="AD192" i="12"/>
  <c r="AC132" i="12"/>
  <c r="AC147" i="12"/>
  <c r="AC172" i="12"/>
  <c r="AB212" i="12"/>
  <c r="AC206" i="12"/>
  <c r="AB206" i="12"/>
  <c r="AC212" i="12"/>
  <c r="AB147" i="12"/>
  <c r="AB132" i="12"/>
  <c r="AB192" i="12"/>
  <c r="AB253" i="12"/>
  <c r="AC192" i="12"/>
  <c r="AN107" i="6"/>
  <c r="AN120" i="6"/>
  <c r="AN76" i="5"/>
  <c r="AN86" i="5"/>
  <c r="AL107" i="6"/>
  <c r="AL120" i="6"/>
  <c r="AM107" i="6"/>
  <c r="AM120" i="6"/>
  <c r="AO107" i="6"/>
  <c r="AO120" i="6"/>
  <c r="AN116" i="3"/>
  <c r="AN102" i="3"/>
  <c r="AO21" i="9"/>
  <c r="AM56" i="1"/>
  <c r="AN54" i="1"/>
  <c r="AO45" i="1"/>
  <c r="AL48" i="6"/>
  <c r="AR106" i="12" s="1"/>
  <c r="AN61" i="3"/>
  <c r="AN76" i="3" s="1"/>
  <c r="AN89" i="3" s="1"/>
  <c r="AL61" i="3"/>
  <c r="AL76" i="3" s="1"/>
  <c r="AL89" i="3" s="1"/>
  <c r="AM116" i="3"/>
  <c r="AM102" i="3"/>
  <c r="AO46" i="1"/>
  <c r="AM42" i="1"/>
  <c r="AO61" i="3"/>
  <c r="AO76" i="3" s="1"/>
  <c r="AO89" i="3" s="1"/>
  <c r="AO133" i="11"/>
  <c r="AM21" i="9"/>
  <c r="AM22" i="9" s="1"/>
  <c r="AO65" i="9"/>
  <c r="AS73" i="9" s="1"/>
  <c r="AO42" i="1"/>
  <c r="AO66" i="9"/>
  <c r="AS74" i="9" s="1"/>
  <c r="AO87" i="9"/>
  <c r="AO103" i="6"/>
  <c r="AU153" i="12" s="1"/>
  <c r="AO71" i="4"/>
  <c r="AL80" i="11"/>
  <c r="AL103" i="11" s="1"/>
  <c r="AL121" i="11" s="1"/>
  <c r="AO67" i="9"/>
  <c r="AS75" i="9" s="1"/>
  <c r="AN71" i="4"/>
  <c r="AO68" i="9"/>
  <c r="AS76" i="9" s="1"/>
  <c r="AO13" i="2"/>
  <c r="AM118" i="3"/>
  <c r="AM71" i="4"/>
  <c r="AO58" i="4"/>
  <c r="AM80" i="11"/>
  <c r="AM103" i="11" s="1"/>
  <c r="AM121" i="11" s="1"/>
  <c r="AO60" i="9"/>
  <c r="AU29" i="12" s="1"/>
  <c r="AO54" i="1"/>
  <c r="AO118" i="3"/>
  <c r="AU275" i="12" s="1"/>
  <c r="AN41" i="4"/>
  <c r="AN54" i="4" s="1"/>
  <c r="AN69" i="4" s="1"/>
  <c r="AO63" i="9"/>
  <c r="AS71" i="9" s="1"/>
  <c r="AO56" i="1"/>
  <c r="AO64" i="9"/>
  <c r="AS72" i="9" s="1"/>
  <c r="AM13" i="2"/>
  <c r="AN79" i="4"/>
  <c r="AM45" i="1"/>
  <c r="AM43" i="1"/>
  <c r="AM5" i="8"/>
  <c r="AM25" i="8" s="1"/>
  <c r="AQ33" i="8" s="1"/>
  <c r="AM115" i="11"/>
  <c r="AM118" i="11" s="1"/>
  <c r="AM133" i="11"/>
  <c r="AM64" i="9"/>
  <c r="AQ72" i="9" s="1"/>
  <c r="AM110" i="3"/>
  <c r="AM63" i="9"/>
  <c r="AQ71" i="9" s="1"/>
  <c r="AM65" i="9"/>
  <c r="AQ73" i="9" s="1"/>
  <c r="AM87" i="9"/>
  <c r="AM66" i="9"/>
  <c r="AQ74" i="9" s="1"/>
  <c r="AM58" i="4"/>
  <c r="AM67" i="9"/>
  <c r="AQ75" i="9" s="1"/>
  <c r="AM68" i="9"/>
  <c r="AQ76" i="9" s="1"/>
  <c r="AM37" i="7"/>
  <c r="AL5" i="8"/>
  <c r="AL28" i="8" s="1"/>
  <c r="AP36" i="8" s="1"/>
  <c r="AM103" i="6"/>
  <c r="AM60" i="9"/>
  <c r="AS29" i="12" s="1"/>
  <c r="AM54" i="1"/>
  <c r="AO76" i="5"/>
  <c r="AO86" i="5"/>
  <c r="AO70" i="5"/>
  <c r="AS74" i="5" s="1"/>
  <c r="AM76" i="5"/>
  <c r="AM86" i="5"/>
  <c r="AM70" i="5"/>
  <c r="AQ74" i="5" s="1"/>
  <c r="AO79" i="4"/>
  <c r="AO97" i="4"/>
  <c r="AU491" i="12" s="1"/>
  <c r="AM79" i="4"/>
  <c r="AO95" i="4"/>
  <c r="AO101" i="4" s="1"/>
  <c r="AM95" i="4"/>
  <c r="AM101" i="4" s="1"/>
  <c r="AM46" i="1"/>
  <c r="AO68" i="7"/>
  <c r="AO84" i="7"/>
  <c r="AO79" i="7"/>
  <c r="AO63" i="7"/>
  <c r="AN63" i="7"/>
  <c r="AN79" i="7"/>
  <c r="AN84" i="7"/>
  <c r="AM84" i="7"/>
  <c r="AM79" i="7"/>
  <c r="AM63" i="7"/>
  <c r="AM68" i="7"/>
  <c r="AO102" i="3"/>
  <c r="AO44" i="1"/>
  <c r="AM44" i="1"/>
  <c r="AO43" i="1"/>
  <c r="AO37" i="1"/>
  <c r="AM37" i="1"/>
  <c r="AM11" i="1"/>
  <c r="AN103" i="6"/>
  <c r="AO45" i="6"/>
  <c r="AO68" i="6" s="1"/>
  <c r="AO79" i="6" s="1"/>
  <c r="AN45" i="6"/>
  <c r="AN68" i="6" s="1"/>
  <c r="AN79" i="6" s="1"/>
  <c r="AM45" i="6"/>
  <c r="AM68" i="6" s="1"/>
  <c r="AM79" i="6" s="1"/>
  <c r="AO11" i="1"/>
  <c r="BZ11" i="1" s="1"/>
  <c r="AO115" i="11"/>
  <c r="AO118" i="11" s="1"/>
  <c r="AO23" i="1"/>
  <c r="AM23" i="1"/>
  <c r="AM65" i="1"/>
  <c r="AO123" i="11"/>
  <c r="AO124" i="11"/>
  <c r="AM123" i="11"/>
  <c r="AM124" i="11"/>
  <c r="AL133" i="11"/>
  <c r="AL45" i="1"/>
  <c r="AL13" i="2"/>
  <c r="AL110" i="3"/>
  <c r="AL71" i="4"/>
  <c r="AL56" i="1"/>
  <c r="AL118" i="3"/>
  <c r="AL58" i="4"/>
  <c r="AL86" i="5"/>
  <c r="AL76" i="5"/>
  <c r="AL70" i="5"/>
  <c r="AP74" i="5" s="1"/>
  <c r="AL79" i="4"/>
  <c r="AL41" i="4"/>
  <c r="AL54" i="4" s="1"/>
  <c r="AL69" i="4" s="1"/>
  <c r="AL23" i="1"/>
  <c r="AL46" i="1"/>
  <c r="AL37" i="7"/>
  <c r="AL68" i="7"/>
  <c r="AL63" i="7"/>
  <c r="AL79" i="7"/>
  <c r="AL44" i="1"/>
  <c r="AL37" i="1"/>
  <c r="AL43" i="1"/>
  <c r="AL45" i="6"/>
  <c r="AL68" i="6" s="1"/>
  <c r="AL79" i="6" s="1"/>
  <c r="AL11" i="1"/>
  <c r="AL42" i="1"/>
  <c r="AL124" i="11"/>
  <c r="AL68" i="9"/>
  <c r="AP76" i="9" s="1"/>
  <c r="AL66" i="9"/>
  <c r="AP74" i="9" s="1"/>
  <c r="AL67" i="9"/>
  <c r="AP75" i="9" s="1"/>
  <c r="AL21" i="9"/>
  <c r="AL63" i="9"/>
  <c r="AP71" i="9" s="1"/>
  <c r="AL64" i="9"/>
  <c r="AP72" i="9" s="1"/>
  <c r="AL65" i="9"/>
  <c r="AP73" i="9" s="1"/>
  <c r="AK126" i="3"/>
  <c r="BW19" i="1"/>
  <c r="BU25" i="1" s="1"/>
  <c r="BV25" i="1" s="1"/>
  <c r="BW7" i="1"/>
  <c r="AK21" i="4"/>
  <c r="AK30" i="4"/>
  <c r="AQ408" i="12" s="1"/>
  <c r="J122" i="15" l="1"/>
  <c r="J49" i="15"/>
  <c r="K50" i="15"/>
  <c r="H122" i="15"/>
  <c r="H49" i="15"/>
  <c r="G109" i="15"/>
  <c r="H109" i="15"/>
  <c r="H106" i="15"/>
  <c r="G107" i="15"/>
  <c r="N8" i="15"/>
  <c r="J105" i="15"/>
  <c r="K32" i="15"/>
  <c r="G116" i="15"/>
  <c r="N14" i="15"/>
  <c r="J108" i="15"/>
  <c r="N34" i="15"/>
  <c r="J117" i="15"/>
  <c r="L41" i="15"/>
  <c r="H121" i="15"/>
  <c r="K10" i="15"/>
  <c r="G106" i="15"/>
  <c r="K8" i="15"/>
  <c r="G105" i="15"/>
  <c r="J109" i="15"/>
  <c r="L32" i="15"/>
  <c r="H116" i="15"/>
  <c r="N10" i="15"/>
  <c r="J106" i="15"/>
  <c r="L17" i="15"/>
  <c r="H110" i="15"/>
  <c r="L34" i="15"/>
  <c r="H117" i="15"/>
  <c r="L8" i="15"/>
  <c r="H105" i="15"/>
  <c r="K36" i="15"/>
  <c r="G118" i="15"/>
  <c r="N36" i="15"/>
  <c r="J118" i="15"/>
  <c r="K41" i="15"/>
  <c r="G121" i="15"/>
  <c r="L19" i="15"/>
  <c r="H111" i="15"/>
  <c r="N41" i="15"/>
  <c r="J121" i="15"/>
  <c r="K43" i="15"/>
  <c r="G122" i="15"/>
  <c r="K17" i="15"/>
  <c r="G110" i="15"/>
  <c r="K34" i="15"/>
  <c r="G117" i="15"/>
  <c r="N19" i="15"/>
  <c r="J111" i="15"/>
  <c r="N17" i="15"/>
  <c r="J110" i="15"/>
  <c r="K19" i="15"/>
  <c r="G111" i="15"/>
  <c r="K14" i="15"/>
  <c r="G108" i="15"/>
  <c r="L38" i="15"/>
  <c r="H119" i="15"/>
  <c r="L36" i="15"/>
  <c r="H118" i="15"/>
  <c r="N12" i="15"/>
  <c r="J107" i="15"/>
  <c r="N32" i="15"/>
  <c r="J116" i="15"/>
  <c r="L14" i="15"/>
  <c r="H108" i="15"/>
  <c r="L12" i="15"/>
  <c r="H107" i="15"/>
  <c r="N38" i="15"/>
  <c r="J119" i="15"/>
  <c r="AS58" i="1"/>
  <c r="AS57" i="1"/>
  <c r="AP57" i="1"/>
  <c r="AQ57" i="1"/>
  <c r="J46" i="15"/>
  <c r="N47" i="15" s="1"/>
  <c r="J20" i="15"/>
  <c r="J26" i="15"/>
  <c r="K23" i="15"/>
  <c r="G26" i="15"/>
  <c r="G20" i="15"/>
  <c r="L23" i="15"/>
  <c r="H20" i="15"/>
  <c r="H26" i="15"/>
  <c r="H76" i="15"/>
  <c r="N23" i="15"/>
  <c r="H80" i="15"/>
  <c r="G79" i="15"/>
  <c r="H81" i="15"/>
  <c r="K38" i="15"/>
  <c r="G46" i="15"/>
  <c r="H78" i="15"/>
  <c r="G77" i="15"/>
  <c r="H82" i="15"/>
  <c r="G80" i="15"/>
  <c r="J78" i="15"/>
  <c r="H77" i="15"/>
  <c r="J82" i="15"/>
  <c r="G82" i="15"/>
  <c r="G76" i="15"/>
  <c r="H79" i="15"/>
  <c r="L43" i="15"/>
  <c r="G81" i="15"/>
  <c r="J77" i="15"/>
  <c r="G78" i="15"/>
  <c r="K12" i="15"/>
  <c r="J76" i="15"/>
  <c r="J81" i="15"/>
  <c r="J79" i="15"/>
  <c r="N43" i="15"/>
  <c r="J69" i="15"/>
  <c r="G63" i="15"/>
  <c r="G73" i="15"/>
  <c r="H63" i="15"/>
  <c r="H73" i="15"/>
  <c r="H69" i="15"/>
  <c r="J63" i="15"/>
  <c r="J73" i="15"/>
  <c r="H46" i="15"/>
  <c r="G69" i="15"/>
  <c r="AP78" i="9"/>
  <c r="AL22" i="9"/>
  <c r="AS78" i="9"/>
  <c r="AO22" i="9"/>
  <c r="AO29" i="8"/>
  <c r="AS37" i="8" s="1"/>
  <c r="AS275" i="12"/>
  <c r="AN59" i="1"/>
  <c r="AQ58" i="1"/>
  <c r="AN79" i="9"/>
  <c r="AQ78" i="9"/>
  <c r="AT153" i="12"/>
  <c r="AO28" i="8"/>
  <c r="AS36" i="8" s="1"/>
  <c r="AO25" i="8"/>
  <c r="AS33" i="8" s="1"/>
  <c r="AO27" i="8"/>
  <c r="AS35" i="8" s="1"/>
  <c r="AO24" i="8"/>
  <c r="AS32" i="8" s="1"/>
  <c r="AO79" i="9"/>
  <c r="AP79" i="9"/>
  <c r="AT29" i="12"/>
  <c r="AR275" i="12"/>
  <c r="AS153" i="12"/>
  <c r="AU69" i="12"/>
  <c r="AP59" i="1"/>
  <c r="AT69" i="12"/>
  <c r="AT275" i="12"/>
  <c r="AM59" i="1"/>
  <c r="AP58" i="1"/>
  <c r="AR69" i="12"/>
  <c r="AS69" i="12"/>
  <c r="AM24" i="8"/>
  <c r="AQ32" i="8" s="1"/>
  <c r="AM79" i="9"/>
  <c r="AO59" i="1"/>
  <c r="AM26" i="8"/>
  <c r="AQ34" i="8" s="1"/>
  <c r="AM27" i="8"/>
  <c r="AQ35" i="8" s="1"/>
  <c r="AM28" i="8"/>
  <c r="AQ36" i="8" s="1"/>
  <c r="AM29" i="8"/>
  <c r="AQ37" i="8" s="1"/>
  <c r="AL27" i="8"/>
  <c r="AP35" i="8" s="1"/>
  <c r="AL24" i="8"/>
  <c r="AP32" i="8" s="1"/>
  <c r="AL29" i="8"/>
  <c r="AP37" i="8" s="1"/>
  <c r="AL26" i="8"/>
  <c r="AP34" i="8" s="1"/>
  <c r="AL25" i="8"/>
  <c r="AP33" i="8" s="1"/>
  <c r="AK108" i="6"/>
  <c r="AK107" i="6"/>
  <c r="AK102" i="6"/>
  <c r="AQ152" i="12" s="1"/>
  <c r="AK100" i="6"/>
  <c r="AK99" i="6"/>
  <c r="AK94" i="6"/>
  <c r="AK86" i="6"/>
  <c r="AK84" i="6"/>
  <c r="AK82" i="6"/>
  <c r="AK81" i="6"/>
  <c r="AK80" i="6"/>
  <c r="AK75" i="6"/>
  <c r="AK73" i="6"/>
  <c r="AQ186" i="12" s="1"/>
  <c r="AK70" i="6"/>
  <c r="AK69" i="6"/>
  <c r="AK66" i="6"/>
  <c r="AK65" i="6"/>
  <c r="AQ166" i="12" s="1"/>
  <c r="AK49" i="6"/>
  <c r="AQ126" i="12" s="1"/>
  <c r="AK48" i="6"/>
  <c r="AQ106" i="12" s="1"/>
  <c r="AK45" i="6"/>
  <c r="AK68" i="6" s="1"/>
  <c r="AK79" i="6" s="1"/>
  <c r="AK6" i="6"/>
  <c r="AQ253" i="12" s="1"/>
  <c r="AK124" i="3"/>
  <c r="AK122" i="3"/>
  <c r="AQ329" i="12" s="1"/>
  <c r="AK121" i="3"/>
  <c r="AQ328" i="12" s="1"/>
  <c r="AK119" i="3"/>
  <c r="AQ276" i="12" s="1"/>
  <c r="AK116" i="3"/>
  <c r="AK114" i="3"/>
  <c r="AK113" i="3"/>
  <c r="AK111" i="3"/>
  <c r="AK107" i="3"/>
  <c r="AK106" i="3"/>
  <c r="AK104" i="3"/>
  <c r="AK102" i="3"/>
  <c r="AK100" i="3"/>
  <c r="AK98" i="3"/>
  <c r="AK97" i="3"/>
  <c r="AQ389" i="12" s="1"/>
  <c r="AK94" i="3"/>
  <c r="AK93" i="3"/>
  <c r="AQ296" i="12" s="1"/>
  <c r="AK91" i="3"/>
  <c r="AQ290" i="12" s="1"/>
  <c r="AK87" i="3"/>
  <c r="AK85" i="3"/>
  <c r="AK84" i="3"/>
  <c r="AQ388" i="12" s="1"/>
  <c r="AK81" i="3"/>
  <c r="AK80" i="3"/>
  <c r="AQ295" i="12" s="1"/>
  <c r="AK78" i="3"/>
  <c r="AQ289" i="12" s="1"/>
  <c r="AK73" i="3"/>
  <c r="AK71" i="3"/>
  <c r="AK70" i="3"/>
  <c r="AQ387" i="12" s="1"/>
  <c r="AK67" i="3"/>
  <c r="AK66" i="3"/>
  <c r="AQ294" i="12" s="1"/>
  <c r="AK64" i="3"/>
  <c r="AQ288" i="12" s="1"/>
  <c r="AK61" i="3"/>
  <c r="AK76" i="3" s="1"/>
  <c r="AK89" i="3" s="1"/>
  <c r="AK85" i="7"/>
  <c r="AK74" i="7"/>
  <c r="AK73" i="7"/>
  <c r="AK71" i="7"/>
  <c r="AK70" i="7"/>
  <c r="AK66" i="7"/>
  <c r="AK65" i="7"/>
  <c r="AK49" i="7"/>
  <c r="AK46" i="7"/>
  <c r="AK43" i="7"/>
  <c r="AK63" i="7" s="1"/>
  <c r="AK40" i="7"/>
  <c r="AK39" i="7"/>
  <c r="AK28" i="7"/>
  <c r="AK27" i="7"/>
  <c r="AK102" i="4"/>
  <c r="AQ505" i="12" s="1"/>
  <c r="AK96" i="4"/>
  <c r="AN97" i="4" s="1"/>
  <c r="AT491" i="12" s="1"/>
  <c r="AK95" i="4"/>
  <c r="AK101" i="4" s="1"/>
  <c r="AK92" i="4"/>
  <c r="AQ469" i="12" s="1"/>
  <c r="AK91" i="4"/>
  <c r="AQ468" i="12" s="1"/>
  <c r="AK90" i="4"/>
  <c r="AQ467" i="12" s="1"/>
  <c r="AK89" i="4"/>
  <c r="AQ466" i="12" s="1"/>
  <c r="AK88" i="4"/>
  <c r="AQ465" i="12" s="1"/>
  <c r="AK84" i="4"/>
  <c r="AQ486" i="12" s="1"/>
  <c r="AK83" i="4"/>
  <c r="AQ485" i="12" s="1"/>
  <c r="AK81" i="4"/>
  <c r="AQ475" i="12" s="1"/>
  <c r="AK80" i="4"/>
  <c r="AQ474" i="12" s="1"/>
  <c r="AK74" i="4"/>
  <c r="AK72" i="4"/>
  <c r="AK67" i="4"/>
  <c r="AK66" i="4"/>
  <c r="AK62" i="4"/>
  <c r="AK60" i="4"/>
  <c r="AK56" i="4"/>
  <c r="AK52" i="4"/>
  <c r="AK51" i="4"/>
  <c r="AK49" i="4"/>
  <c r="AK46" i="4"/>
  <c r="AO47" i="4" s="1"/>
  <c r="AK45" i="4"/>
  <c r="AK43" i="4"/>
  <c r="AK41" i="4"/>
  <c r="AK54" i="4" s="1"/>
  <c r="AK69" i="4" s="1"/>
  <c r="AK39" i="4"/>
  <c r="AK38" i="4"/>
  <c r="AK37" i="4"/>
  <c r="AK36" i="4"/>
  <c r="AK35" i="4"/>
  <c r="AK34" i="4"/>
  <c r="AK32" i="4"/>
  <c r="AK31" i="4"/>
  <c r="AK33" i="4"/>
  <c r="AK97" i="5"/>
  <c r="AK95" i="5"/>
  <c r="AK89" i="5"/>
  <c r="AK88" i="5"/>
  <c r="AK87" i="5"/>
  <c r="AK80" i="5"/>
  <c r="AK78" i="5"/>
  <c r="AK73" i="5"/>
  <c r="AK72" i="5"/>
  <c r="AK69" i="5"/>
  <c r="AK51" i="5"/>
  <c r="AK86" i="5" s="1"/>
  <c r="AK7" i="5"/>
  <c r="AK28" i="2"/>
  <c r="AQ247" i="12" s="1"/>
  <c r="AK27" i="2"/>
  <c r="AK24" i="2"/>
  <c r="AO25" i="2" s="1"/>
  <c r="AK21" i="2"/>
  <c r="AK19" i="2"/>
  <c r="AK18" i="2"/>
  <c r="AQ229" i="12" s="1"/>
  <c r="AK16" i="2"/>
  <c r="AK15" i="2"/>
  <c r="AK13" i="2"/>
  <c r="AK48" i="8"/>
  <c r="AK47" i="8"/>
  <c r="AK45" i="8"/>
  <c r="AK44" i="8"/>
  <c r="AK43" i="8"/>
  <c r="AK42" i="8"/>
  <c r="AK41" i="8"/>
  <c r="AK40" i="8"/>
  <c r="AK20" i="8"/>
  <c r="AK64" i="1"/>
  <c r="AK62" i="1"/>
  <c r="AK61" i="1"/>
  <c r="AQ64" i="12" s="1"/>
  <c r="AK50" i="1"/>
  <c r="AK47" i="1"/>
  <c r="AO67" i="1" s="1"/>
  <c r="AK36" i="1"/>
  <c r="AK35" i="1"/>
  <c r="AK34" i="1"/>
  <c r="AK33" i="1"/>
  <c r="AK32" i="1"/>
  <c r="AK31" i="1"/>
  <c r="AK30" i="1"/>
  <c r="AK22" i="1"/>
  <c r="AK21" i="1"/>
  <c r="AK20" i="1"/>
  <c r="AK19" i="1"/>
  <c r="AK18" i="1"/>
  <c r="AK17" i="1"/>
  <c r="AK16" i="1"/>
  <c r="AK13" i="1"/>
  <c r="AK10" i="1"/>
  <c r="AK9" i="1"/>
  <c r="AK8" i="1"/>
  <c r="AK7" i="1"/>
  <c r="AK6" i="1"/>
  <c r="AK5" i="1"/>
  <c r="AK4" i="1"/>
  <c r="AK134" i="11"/>
  <c r="AK127" i="11"/>
  <c r="AK126" i="11"/>
  <c r="AK113" i="11"/>
  <c r="AK111" i="11"/>
  <c r="AK110" i="11"/>
  <c r="AK109" i="11"/>
  <c r="AK108" i="11"/>
  <c r="AK106" i="11"/>
  <c r="AK100" i="11"/>
  <c r="AK87" i="11"/>
  <c r="AK80" i="11"/>
  <c r="AK103" i="11" s="1"/>
  <c r="AK121" i="11" s="1"/>
  <c r="AK86" i="9"/>
  <c r="AQ92" i="12" s="1"/>
  <c r="AK84" i="9"/>
  <c r="AK83" i="9"/>
  <c r="AK81" i="9"/>
  <c r="AK54" i="9"/>
  <c r="AK48" i="9"/>
  <c r="AK18" i="9"/>
  <c r="AO59" i="9"/>
  <c r="AU23" i="12" s="1"/>
  <c r="G51" i="15" l="1"/>
  <c r="H51" i="15"/>
  <c r="L50" i="15"/>
  <c r="J51" i="15"/>
  <c r="N50" i="15"/>
  <c r="G112" i="15"/>
  <c r="J112" i="15"/>
  <c r="H112" i="15"/>
  <c r="K27" i="15"/>
  <c r="N27" i="15"/>
  <c r="L27" i="15"/>
  <c r="L47" i="15"/>
  <c r="K47" i="15"/>
  <c r="F18" i="15"/>
  <c r="F42" i="15"/>
  <c r="F49" i="15" s="1"/>
  <c r="J50" i="15" s="1"/>
  <c r="F16" i="15"/>
  <c r="F66" i="15"/>
  <c r="F7" i="15"/>
  <c r="F31" i="15"/>
  <c r="F9" i="15"/>
  <c r="F33" i="15"/>
  <c r="F40" i="15"/>
  <c r="F13" i="15"/>
  <c r="F37" i="15"/>
  <c r="F119" i="15" s="1"/>
  <c r="F15" i="15"/>
  <c r="F39" i="15"/>
  <c r="F120" i="15" s="1"/>
  <c r="F22" i="15"/>
  <c r="F113" i="15" s="1"/>
  <c r="BU6" i="1"/>
  <c r="BW6" i="1" s="1"/>
  <c r="F11" i="15"/>
  <c r="BU18" i="1"/>
  <c r="BW18" i="1" s="1"/>
  <c r="F35" i="15"/>
  <c r="F118" i="15" s="1"/>
  <c r="AO131" i="11"/>
  <c r="AO64" i="4"/>
  <c r="AQ447" i="12"/>
  <c r="AO68" i="3"/>
  <c r="AQ306" i="12"/>
  <c r="AO95" i="3"/>
  <c r="AQ308" i="12"/>
  <c r="AO82" i="3"/>
  <c r="AQ307" i="12"/>
  <c r="AL103" i="6"/>
  <c r="AR153" i="12" s="1"/>
  <c r="AQ146" i="12"/>
  <c r="AO22" i="2"/>
  <c r="AU235" i="12" s="1"/>
  <c r="AQ234" i="12"/>
  <c r="AL54" i="1"/>
  <c r="AO53" i="1"/>
  <c r="AK79" i="4"/>
  <c r="AK124" i="11"/>
  <c r="AL115" i="11"/>
  <c r="AL118" i="11" s="1"/>
  <c r="AK64" i="9"/>
  <c r="AO72" i="9" s="1"/>
  <c r="AL60" i="9"/>
  <c r="AR29" i="12" s="1"/>
  <c r="AK42" i="1"/>
  <c r="AK65" i="1"/>
  <c r="BU13" i="1"/>
  <c r="AK70" i="5"/>
  <c r="AO74" i="5" s="1"/>
  <c r="AK45" i="1"/>
  <c r="AK5" i="8"/>
  <c r="AK27" i="8" s="1"/>
  <c r="AK123" i="11"/>
  <c r="AK118" i="3"/>
  <c r="AQ275" i="12" s="1"/>
  <c r="AK58" i="4"/>
  <c r="AK71" i="4"/>
  <c r="AK110" i="3"/>
  <c r="AK133" i="11"/>
  <c r="AK44" i="1"/>
  <c r="AK37" i="7"/>
  <c r="AK68" i="7"/>
  <c r="AK79" i="7"/>
  <c r="AK84" i="7"/>
  <c r="AK37" i="1"/>
  <c r="AK46" i="1"/>
  <c r="AK23" i="1"/>
  <c r="AK76" i="5"/>
  <c r="AK91" i="5"/>
  <c r="AO96" i="5" s="1"/>
  <c r="AK11" i="1"/>
  <c r="AK56" i="1"/>
  <c r="AK43" i="1"/>
  <c r="AK65" i="9"/>
  <c r="AO73" i="9" s="1"/>
  <c r="AK66" i="9"/>
  <c r="AO74" i="9" s="1"/>
  <c r="AK68" i="9"/>
  <c r="AO76" i="9" s="1"/>
  <c r="AK87" i="9"/>
  <c r="AK21" i="9"/>
  <c r="AK22" i="9" s="1"/>
  <c r="AK67" i="9"/>
  <c r="AO75" i="9" s="1"/>
  <c r="AK63" i="9"/>
  <c r="AO71" i="9" s="1"/>
  <c r="BH24" i="1"/>
  <c r="BH25" i="1"/>
  <c r="BP26" i="1"/>
  <c r="BP27" i="1" s="1"/>
  <c r="BN26" i="1"/>
  <c r="BN27" i="1" s="1"/>
  <c r="BL21" i="2"/>
  <c r="BL19" i="2"/>
  <c r="BL16" i="2"/>
  <c r="BL18" i="2"/>
  <c r="BL15" i="2"/>
  <c r="AJ100" i="11"/>
  <c r="AJ21" i="4"/>
  <c r="AJ30" i="4"/>
  <c r="AP408" i="12" s="1"/>
  <c r="AJ134" i="11"/>
  <c r="AJ127" i="11"/>
  <c r="AJ126" i="11"/>
  <c r="AJ113" i="11"/>
  <c r="AJ111" i="11"/>
  <c r="AJ110" i="11"/>
  <c r="AJ109" i="11"/>
  <c r="AJ108" i="11"/>
  <c r="AJ106" i="11"/>
  <c r="AJ87" i="11"/>
  <c r="H52" i="15" l="1"/>
  <c r="L52" i="15"/>
  <c r="G52" i="15"/>
  <c r="K52" i="15"/>
  <c r="N52" i="15"/>
  <c r="J52" i="15"/>
  <c r="F109" i="15"/>
  <c r="J17" i="15"/>
  <c r="F110" i="15"/>
  <c r="J14" i="15"/>
  <c r="F108" i="15"/>
  <c r="J43" i="15"/>
  <c r="F122" i="15"/>
  <c r="J41" i="15"/>
  <c r="F121" i="15"/>
  <c r="J12" i="15"/>
  <c r="F107" i="15"/>
  <c r="J34" i="15"/>
  <c r="F117" i="15"/>
  <c r="J10" i="15"/>
  <c r="F106" i="15"/>
  <c r="J32" i="15"/>
  <c r="F116" i="15"/>
  <c r="J19" i="15"/>
  <c r="F111" i="15"/>
  <c r="J8" i="15"/>
  <c r="F105" i="15"/>
  <c r="AQ69" i="12"/>
  <c r="AO57" i="1"/>
  <c r="F73" i="15"/>
  <c r="F26" i="15"/>
  <c r="F20" i="15"/>
  <c r="F80" i="15"/>
  <c r="F81" i="15"/>
  <c r="F82" i="15"/>
  <c r="F79" i="15"/>
  <c r="F69" i="15"/>
  <c r="F46" i="15"/>
  <c r="J47" i="15" s="1"/>
  <c r="F76" i="15"/>
  <c r="J38" i="15"/>
  <c r="F77" i="15"/>
  <c r="F63" i="15"/>
  <c r="J23" i="15"/>
  <c r="J36" i="15"/>
  <c r="F78" i="15"/>
  <c r="AN131" i="11"/>
  <c r="AO35" i="8"/>
  <c r="AL59" i="1"/>
  <c r="AO58" i="1"/>
  <c r="AJ124" i="11"/>
  <c r="AL79" i="9"/>
  <c r="AO78" i="9"/>
  <c r="AK29" i="8"/>
  <c r="AK26" i="8"/>
  <c r="BV26" i="1"/>
  <c r="AK115" i="11"/>
  <c r="AK118" i="11" s="1"/>
  <c r="AK28" i="8"/>
  <c r="AK25" i="8"/>
  <c r="AK24" i="8"/>
  <c r="AJ123" i="11"/>
  <c r="AJ115" i="11"/>
  <c r="AJ118" i="11" s="1"/>
  <c r="F112" i="15" l="1"/>
  <c r="J27" i="15"/>
  <c r="AO33" i="8"/>
  <c r="AO37" i="8"/>
  <c r="AO32" i="8"/>
  <c r="AO36" i="8"/>
  <c r="AO34" i="8"/>
  <c r="AJ6" i="6"/>
  <c r="AD253" i="12" l="1"/>
  <c r="AC253" i="12"/>
  <c r="AF253" i="12"/>
  <c r="AE253" i="12"/>
  <c r="AH253" i="12"/>
  <c r="AG253" i="12"/>
  <c r="AJ253" i="12"/>
  <c r="AI253" i="12"/>
  <c r="AL253" i="12"/>
  <c r="AK253" i="12"/>
  <c r="AN253" i="12"/>
  <c r="AM253" i="12"/>
  <c r="AP253" i="12"/>
  <c r="AO253" i="12"/>
  <c r="AJ97" i="5"/>
  <c r="AJ95" i="5"/>
  <c r="AJ89" i="5"/>
  <c r="AJ88" i="5"/>
  <c r="AJ87" i="5"/>
  <c r="AJ80" i="5"/>
  <c r="AJ78" i="5"/>
  <c r="AJ73" i="5"/>
  <c r="AJ72" i="5"/>
  <c r="AJ69" i="5"/>
  <c r="AJ91" i="5" s="1"/>
  <c r="AN96" i="5" s="1"/>
  <c r="AJ51" i="5"/>
  <c r="AJ86" i="5" s="1"/>
  <c r="AJ7" i="5"/>
  <c r="AJ102" i="4"/>
  <c r="AP505" i="12" s="1"/>
  <c r="AJ96" i="4"/>
  <c r="AM97" i="4" s="1"/>
  <c r="AS491" i="12" s="1"/>
  <c r="AJ92" i="4"/>
  <c r="AP469" i="12" s="1"/>
  <c r="AJ91" i="4"/>
  <c r="AP468" i="12" s="1"/>
  <c r="AJ90" i="4"/>
  <c r="AP467" i="12" s="1"/>
  <c r="AJ89" i="4"/>
  <c r="AP466" i="12" s="1"/>
  <c r="AJ88" i="4"/>
  <c r="AP465" i="12" s="1"/>
  <c r="AJ84" i="4"/>
  <c r="AP486" i="12" s="1"/>
  <c r="AJ83" i="4"/>
  <c r="AP485" i="12" s="1"/>
  <c r="AJ81" i="4"/>
  <c r="AP475" i="12" s="1"/>
  <c r="AJ80" i="4"/>
  <c r="AP474" i="12" s="1"/>
  <c r="AJ74" i="4"/>
  <c r="AJ72" i="4"/>
  <c r="AJ67" i="4"/>
  <c r="AJ66" i="4"/>
  <c r="AJ62" i="4"/>
  <c r="AJ60" i="4"/>
  <c r="AJ56" i="4"/>
  <c r="AJ52" i="4"/>
  <c r="AJ51" i="4"/>
  <c r="AJ49" i="4"/>
  <c r="AJ46" i="4"/>
  <c r="AN47" i="4" s="1"/>
  <c r="AJ45" i="4"/>
  <c r="AJ43" i="4"/>
  <c r="AJ39" i="4"/>
  <c r="AJ38" i="4"/>
  <c r="AJ37" i="4"/>
  <c r="AJ36" i="4"/>
  <c r="AJ35" i="4"/>
  <c r="AJ34" i="4"/>
  <c r="AJ32" i="4"/>
  <c r="AJ31" i="4"/>
  <c r="AJ33" i="4"/>
  <c r="AJ41" i="4"/>
  <c r="AJ54" i="4" s="1"/>
  <c r="AJ69" i="4" s="1"/>
  <c r="AJ27" i="7"/>
  <c r="AJ85" i="7"/>
  <c r="AJ74" i="7"/>
  <c r="AJ73" i="7"/>
  <c r="AJ71" i="7"/>
  <c r="AJ70" i="7"/>
  <c r="AJ66" i="7"/>
  <c r="AJ65" i="7"/>
  <c r="AJ49" i="7"/>
  <c r="AJ46" i="7"/>
  <c r="AJ43" i="7"/>
  <c r="AJ84" i="7" s="1"/>
  <c r="AJ40" i="7"/>
  <c r="AJ39" i="7"/>
  <c r="AJ28" i="7"/>
  <c r="AJ126" i="3"/>
  <c r="AJ124" i="3"/>
  <c r="AJ122" i="3"/>
  <c r="AP329" i="12" s="1"/>
  <c r="AJ121" i="3"/>
  <c r="AP328" i="12" s="1"/>
  <c r="AJ119" i="3"/>
  <c r="AP276" i="12" s="1"/>
  <c r="AJ116" i="3"/>
  <c r="AJ114" i="3"/>
  <c r="AJ113" i="3"/>
  <c r="AJ111" i="3"/>
  <c r="AJ107" i="3"/>
  <c r="AJ106" i="3"/>
  <c r="AJ104" i="3"/>
  <c r="AJ102" i="3"/>
  <c r="AJ100" i="3"/>
  <c r="AJ98" i="3"/>
  <c r="AJ97" i="3"/>
  <c r="AP389" i="12" s="1"/>
  <c r="AJ94" i="3"/>
  <c r="AJ93" i="3"/>
  <c r="AP296" i="12" s="1"/>
  <c r="AJ91" i="3"/>
  <c r="AP290" i="12" s="1"/>
  <c r="AJ87" i="3"/>
  <c r="AJ85" i="3"/>
  <c r="AJ84" i="3"/>
  <c r="AP388" i="12" s="1"/>
  <c r="AJ81" i="3"/>
  <c r="AJ80" i="3"/>
  <c r="AP295" i="12" s="1"/>
  <c r="AJ78" i="3"/>
  <c r="AP289" i="12" s="1"/>
  <c r="AJ73" i="3"/>
  <c r="AJ71" i="3"/>
  <c r="AJ70" i="3"/>
  <c r="AP387" i="12" s="1"/>
  <c r="AJ67" i="3"/>
  <c r="AJ66" i="3"/>
  <c r="AP294" i="12" s="1"/>
  <c r="AJ64" i="3"/>
  <c r="AP288" i="12" s="1"/>
  <c r="AJ61" i="3"/>
  <c r="AJ76" i="3" s="1"/>
  <c r="AJ89" i="3" s="1"/>
  <c r="AJ108" i="6"/>
  <c r="AJ102" i="6"/>
  <c r="AP152" i="12" s="1"/>
  <c r="AJ100" i="6"/>
  <c r="AJ99" i="6"/>
  <c r="AJ94" i="6"/>
  <c r="AJ86" i="6"/>
  <c r="AJ84" i="6"/>
  <c r="AJ82" i="6"/>
  <c r="AJ81" i="6"/>
  <c r="AJ80" i="6"/>
  <c r="AJ75" i="6"/>
  <c r="AJ73" i="6"/>
  <c r="AP186" i="12" s="1"/>
  <c r="AJ70" i="6"/>
  <c r="AJ69" i="6"/>
  <c r="AJ66" i="6"/>
  <c r="AJ65" i="6"/>
  <c r="AP166" i="12" s="1"/>
  <c r="AJ49" i="6"/>
  <c r="AP126" i="12" s="1"/>
  <c r="AJ48" i="6"/>
  <c r="AP106" i="12" s="1"/>
  <c r="AJ107" i="6"/>
  <c r="AJ28" i="2"/>
  <c r="AP247" i="12" s="1"/>
  <c r="AJ27" i="2"/>
  <c r="AJ24" i="2"/>
  <c r="AN25" i="2" s="1"/>
  <c r="AJ21" i="2"/>
  <c r="AJ19" i="2"/>
  <c r="AJ18" i="2"/>
  <c r="AP229" i="12" s="1"/>
  <c r="AJ16" i="2"/>
  <c r="AJ15" i="2"/>
  <c r="AJ13" i="2"/>
  <c r="AJ48" i="8"/>
  <c r="AJ47" i="8"/>
  <c r="AJ45" i="8"/>
  <c r="AJ44" i="8"/>
  <c r="AJ43" i="8"/>
  <c r="AJ42" i="8"/>
  <c r="AJ41" i="8"/>
  <c r="AJ40" i="8"/>
  <c r="AJ20" i="8"/>
  <c r="AJ64" i="1"/>
  <c r="AJ62" i="1"/>
  <c r="AJ61" i="1"/>
  <c r="AP64" i="12" s="1"/>
  <c r="AJ50" i="1"/>
  <c r="BL55" i="1" s="1"/>
  <c r="AJ47" i="1"/>
  <c r="AN67" i="1" s="1"/>
  <c r="AJ36" i="1"/>
  <c r="AJ35" i="1"/>
  <c r="AJ34" i="1"/>
  <c r="AJ33" i="1"/>
  <c r="AJ32" i="1"/>
  <c r="AJ31" i="1"/>
  <c r="AJ30" i="1"/>
  <c r="AJ22" i="1"/>
  <c r="AJ21" i="1"/>
  <c r="AJ20" i="1"/>
  <c r="AJ19" i="1"/>
  <c r="AJ18" i="1"/>
  <c r="AJ17" i="1"/>
  <c r="AJ16" i="1"/>
  <c r="AJ13" i="1"/>
  <c r="AJ10" i="1"/>
  <c r="AJ9" i="1"/>
  <c r="AJ8" i="1"/>
  <c r="AJ7" i="1"/>
  <c r="AJ6" i="1"/>
  <c r="AJ5" i="1"/>
  <c r="AJ4" i="1"/>
  <c r="AJ80" i="11"/>
  <c r="AJ103" i="11" s="1"/>
  <c r="AJ121" i="11" s="1"/>
  <c r="E66" i="15" l="1"/>
  <c r="E42" i="15"/>
  <c r="E49" i="15" s="1"/>
  <c r="I50" i="15" s="1"/>
  <c r="E31" i="15"/>
  <c r="E9" i="15"/>
  <c r="E11" i="15"/>
  <c r="E35" i="15"/>
  <c r="E33" i="15"/>
  <c r="E13" i="15"/>
  <c r="E37" i="15"/>
  <c r="E119" i="15" s="1"/>
  <c r="E15" i="15"/>
  <c r="E18" i="15"/>
  <c r="E39" i="15"/>
  <c r="E120" i="15" s="1"/>
  <c r="E16" i="15"/>
  <c r="E40" i="15"/>
  <c r="E22" i="15"/>
  <c r="E113" i="15" s="1"/>
  <c r="BT4" i="1"/>
  <c r="E7" i="15"/>
  <c r="AN53" i="1"/>
  <c r="AN64" i="4"/>
  <c r="AP447" i="12"/>
  <c r="AN95" i="3"/>
  <c r="AP308" i="12"/>
  <c r="AN68" i="3"/>
  <c r="AP306" i="12"/>
  <c r="AN82" i="3"/>
  <c r="AP307" i="12"/>
  <c r="AK103" i="6"/>
  <c r="AQ153" i="12" s="1"/>
  <c r="AP146" i="12"/>
  <c r="AN22" i="2"/>
  <c r="AT235" i="12" s="1"/>
  <c r="AP234" i="12"/>
  <c r="AJ37" i="7"/>
  <c r="BP13" i="1"/>
  <c r="BP28" i="1" s="1"/>
  <c r="BL56" i="1" s="1"/>
  <c r="AK54" i="1"/>
  <c r="AJ76" i="5"/>
  <c r="AJ44" i="1"/>
  <c r="AJ58" i="4"/>
  <c r="AJ133" i="11"/>
  <c r="AJ42" i="1"/>
  <c r="AJ46" i="1"/>
  <c r="AJ45" i="1"/>
  <c r="AJ5" i="8"/>
  <c r="AJ29" i="8" s="1"/>
  <c r="AN37" i="8" s="1"/>
  <c r="AJ43" i="1"/>
  <c r="AJ110" i="3"/>
  <c r="AJ71" i="4"/>
  <c r="AJ118" i="3"/>
  <c r="AP275" i="12" s="1"/>
  <c r="AJ70" i="5"/>
  <c r="AN74" i="5" s="1"/>
  <c r="AJ79" i="4"/>
  <c r="AJ11" i="1"/>
  <c r="AJ23" i="1"/>
  <c r="AJ37" i="1"/>
  <c r="AJ95" i="4"/>
  <c r="AJ101" i="4" s="1"/>
  <c r="AJ63" i="7"/>
  <c r="AJ79" i="7"/>
  <c r="AJ68" i="7"/>
  <c r="AJ45" i="6"/>
  <c r="AJ68" i="6" s="1"/>
  <c r="AJ79" i="6" s="1"/>
  <c r="AJ65" i="1"/>
  <c r="AJ56" i="1"/>
  <c r="I38" i="15" l="1"/>
  <c r="I34" i="15"/>
  <c r="E117" i="15"/>
  <c r="I17" i="15"/>
  <c r="E110" i="15"/>
  <c r="I12" i="15"/>
  <c r="E107" i="15"/>
  <c r="I14" i="15"/>
  <c r="E108" i="15"/>
  <c r="I41" i="15"/>
  <c r="E121" i="15"/>
  <c r="I10" i="15"/>
  <c r="E106" i="15"/>
  <c r="I36" i="15"/>
  <c r="E118" i="15"/>
  <c r="I19" i="15"/>
  <c r="E111" i="15"/>
  <c r="I32" i="15"/>
  <c r="E116" i="15"/>
  <c r="I8" i="15"/>
  <c r="E105" i="15"/>
  <c r="E109" i="15"/>
  <c r="I43" i="15"/>
  <c r="E122" i="15"/>
  <c r="AN57" i="1"/>
  <c r="E73" i="15"/>
  <c r="E26" i="15"/>
  <c r="E20" i="15"/>
  <c r="E80" i="15"/>
  <c r="E81" i="15"/>
  <c r="E82" i="15"/>
  <c r="E79" i="15"/>
  <c r="E78" i="15"/>
  <c r="E69" i="15"/>
  <c r="E46" i="15"/>
  <c r="I47" i="15" s="1"/>
  <c r="E63" i="15"/>
  <c r="I23" i="15"/>
  <c r="E77" i="15"/>
  <c r="E76" i="15"/>
  <c r="AN58" i="1"/>
  <c r="AP69" i="12"/>
  <c r="AK59" i="1"/>
  <c r="AJ27" i="8"/>
  <c r="AN35" i="8" s="1"/>
  <c r="AJ26" i="8"/>
  <c r="AN34" i="8" s="1"/>
  <c r="AJ25" i="8"/>
  <c r="AN33" i="8" s="1"/>
  <c r="AJ24" i="8"/>
  <c r="AN32" i="8" s="1"/>
  <c r="AJ28" i="8"/>
  <c r="AN36" i="8" s="1"/>
  <c r="E112" i="15" l="1"/>
  <c r="I27" i="15"/>
  <c r="AJ7" i="9"/>
  <c r="AN59" i="9" s="1"/>
  <c r="AT23" i="12" s="1"/>
  <c r="AJ18" i="9"/>
  <c r="AJ48" i="9"/>
  <c r="AJ54" i="9"/>
  <c r="AJ81" i="9"/>
  <c r="AJ83" i="9"/>
  <c r="AJ84" i="9"/>
  <c r="AJ86" i="9"/>
  <c r="AP92" i="12" s="1"/>
  <c r="AJ68" i="9" l="1"/>
  <c r="AN76" i="9" s="1"/>
  <c r="AK60" i="9"/>
  <c r="AQ29" i="12" s="1"/>
  <c r="AJ66" i="9"/>
  <c r="AN74" i="9" s="1"/>
  <c r="AJ64" i="9"/>
  <c r="AN72" i="9" s="1"/>
  <c r="AJ65" i="9"/>
  <c r="AN73" i="9" s="1"/>
  <c r="AJ21" i="9"/>
  <c r="AJ87" i="9"/>
  <c r="AJ67" i="9"/>
  <c r="AN75" i="9" s="1"/>
  <c r="AJ63" i="9"/>
  <c r="AN71" i="9" s="1"/>
  <c r="AC7" i="9"/>
  <c r="AD7" i="9"/>
  <c r="AE7" i="9"/>
  <c r="AF7" i="9"/>
  <c r="AJ59" i="9" s="1"/>
  <c r="AN78" i="9" l="1"/>
  <c r="AJ22" i="9"/>
  <c r="AK79" i="9"/>
  <c r="AI31" i="4"/>
  <c r="AI32" i="4"/>
  <c r="AI34" i="4"/>
  <c r="AI35" i="4"/>
  <c r="AI36" i="4"/>
  <c r="AI37" i="4"/>
  <c r="AI38" i="4"/>
  <c r="AI39" i="4"/>
  <c r="AI30" i="4"/>
  <c r="AM408" i="12" s="1"/>
  <c r="AI21" i="4"/>
  <c r="AI33" i="4" s="1"/>
  <c r="AO408" i="12" l="1"/>
  <c r="AN408" i="12"/>
  <c r="AI48" i="9"/>
  <c r="AI7" i="5" l="1"/>
  <c r="AI51" i="5"/>
  <c r="AI76" i="5" s="1"/>
  <c r="AI69" i="5"/>
  <c r="AI72" i="5"/>
  <c r="AI73" i="5"/>
  <c r="AI78" i="5"/>
  <c r="AI80" i="5"/>
  <c r="AI87" i="5"/>
  <c r="AI88" i="5"/>
  <c r="AI89" i="5"/>
  <c r="AI95" i="5"/>
  <c r="AI97" i="5"/>
  <c r="AI41" i="4"/>
  <c r="AI54" i="4" s="1"/>
  <c r="AI69" i="4" s="1"/>
  <c r="AI43" i="4"/>
  <c r="AI45" i="4"/>
  <c r="AI46" i="4"/>
  <c r="AM47" i="4" s="1"/>
  <c r="AI49" i="4"/>
  <c r="AI51" i="4"/>
  <c r="AI52" i="4"/>
  <c r="AI56" i="4"/>
  <c r="AI60" i="4"/>
  <c r="AI62" i="4"/>
  <c r="AI66" i="4"/>
  <c r="AI67" i="4"/>
  <c r="AI72" i="4"/>
  <c r="AI74" i="4"/>
  <c r="AI79" i="4"/>
  <c r="AI80" i="4"/>
  <c r="AO474" i="12" s="1"/>
  <c r="AI81" i="4"/>
  <c r="AO475" i="12" s="1"/>
  <c r="AI83" i="4"/>
  <c r="AO485" i="12" s="1"/>
  <c r="AI84" i="4"/>
  <c r="AO486" i="12" s="1"/>
  <c r="AI88" i="4"/>
  <c r="AO465" i="12" s="1"/>
  <c r="AI89" i="4"/>
  <c r="AO466" i="12" s="1"/>
  <c r="AI90" i="4"/>
  <c r="AO467" i="12" s="1"/>
  <c r="AI91" i="4"/>
  <c r="AO468" i="12" s="1"/>
  <c r="AI92" i="4"/>
  <c r="AO469" i="12" s="1"/>
  <c r="AI96" i="4"/>
  <c r="AL97" i="4" s="1"/>
  <c r="AR491" i="12" s="1"/>
  <c r="AI102" i="4"/>
  <c r="AO505" i="12" s="1"/>
  <c r="AI27" i="7"/>
  <c r="AI28" i="7"/>
  <c r="AI39" i="7"/>
  <c r="AI40" i="7"/>
  <c r="AI43" i="7"/>
  <c r="AI63" i="7" s="1"/>
  <c r="AI46" i="7"/>
  <c r="AI49" i="7"/>
  <c r="AI65" i="7"/>
  <c r="AI66" i="7"/>
  <c r="AI70" i="7"/>
  <c r="AI71" i="7"/>
  <c r="AI73" i="7"/>
  <c r="AI74" i="7"/>
  <c r="AI85" i="7"/>
  <c r="AI61" i="3"/>
  <c r="AI76" i="3" s="1"/>
  <c r="AI89" i="3" s="1"/>
  <c r="AI64" i="3"/>
  <c r="AO288" i="12" s="1"/>
  <c r="AI66" i="3"/>
  <c r="AO294" i="12" s="1"/>
  <c r="AI67" i="3"/>
  <c r="AI70" i="3"/>
  <c r="AO387" i="12" s="1"/>
  <c r="AI71" i="3"/>
  <c r="AI73" i="3"/>
  <c r="AI78" i="3"/>
  <c r="AO289" i="12" s="1"/>
  <c r="AI80" i="3"/>
  <c r="AO295" i="12" s="1"/>
  <c r="AI81" i="3"/>
  <c r="AI84" i="3"/>
  <c r="AO388" i="12" s="1"/>
  <c r="AI85" i="3"/>
  <c r="AI87" i="3"/>
  <c r="AI91" i="3"/>
  <c r="AO290" i="12" s="1"/>
  <c r="AI93" i="3"/>
  <c r="AO296" i="12" s="1"/>
  <c r="AI94" i="3"/>
  <c r="AI97" i="3"/>
  <c r="AO389" i="12" s="1"/>
  <c r="AI98" i="3"/>
  <c r="AI100" i="3"/>
  <c r="AI102" i="3"/>
  <c r="AI104" i="3"/>
  <c r="AI106" i="3"/>
  <c r="AI107" i="3"/>
  <c r="AM108" i="3" s="1"/>
  <c r="AI111" i="3"/>
  <c r="AI113" i="3"/>
  <c r="AI114" i="3"/>
  <c r="AI116" i="3"/>
  <c r="AI119" i="3"/>
  <c r="AO276" i="12" s="1"/>
  <c r="AI121" i="3"/>
  <c r="AO328" i="12" s="1"/>
  <c r="AI122" i="3"/>
  <c r="AO329" i="12" s="1"/>
  <c r="AI124" i="3"/>
  <c r="AI126" i="3"/>
  <c r="AI107" i="6"/>
  <c r="AI48" i="6"/>
  <c r="AO106" i="12" s="1"/>
  <c r="AI49" i="6"/>
  <c r="AO126" i="12" s="1"/>
  <c r="AI65" i="6"/>
  <c r="AO166" i="12" s="1"/>
  <c r="AI66" i="6"/>
  <c r="AI69" i="6"/>
  <c r="AI70" i="6"/>
  <c r="AI73" i="6"/>
  <c r="AO186" i="12" s="1"/>
  <c r="AI75" i="6"/>
  <c r="AI80" i="6"/>
  <c r="AI81" i="6"/>
  <c r="AI82" i="6"/>
  <c r="AI84" i="6"/>
  <c r="AI86" i="6"/>
  <c r="AI94" i="6"/>
  <c r="AI99" i="6"/>
  <c r="AI100" i="6"/>
  <c r="AI102" i="6"/>
  <c r="AO152" i="12" s="1"/>
  <c r="AI108" i="6"/>
  <c r="AI13" i="2"/>
  <c r="AI15" i="2"/>
  <c r="AI16" i="2"/>
  <c r="AI18" i="2"/>
  <c r="AO229" i="12" s="1"/>
  <c r="AI19" i="2"/>
  <c r="AI21" i="2"/>
  <c r="AI24" i="2"/>
  <c r="AM25" i="2" s="1"/>
  <c r="AI27" i="2"/>
  <c r="AI28" i="2"/>
  <c r="AO247" i="12" s="1"/>
  <c r="AI20" i="8"/>
  <c r="AI40" i="8"/>
  <c r="AI41" i="8"/>
  <c r="AI42" i="8"/>
  <c r="AI43" i="8"/>
  <c r="AI44" i="8"/>
  <c r="AI45" i="8"/>
  <c r="AI47" i="8"/>
  <c r="AI48" i="8"/>
  <c r="AI4" i="1"/>
  <c r="AI5" i="1"/>
  <c r="AI6" i="1"/>
  <c r="AI7" i="1"/>
  <c r="AI8" i="1"/>
  <c r="AI9" i="1"/>
  <c r="AI10" i="1"/>
  <c r="AI13" i="1"/>
  <c r="AI16" i="1"/>
  <c r="AI17" i="1"/>
  <c r="AI18" i="1"/>
  <c r="AI19" i="1"/>
  <c r="AI20" i="1"/>
  <c r="AI21" i="1"/>
  <c r="AI22" i="1"/>
  <c r="AI30" i="1"/>
  <c r="AI31" i="1"/>
  <c r="AI32" i="1"/>
  <c r="AI33" i="1"/>
  <c r="AI34" i="1"/>
  <c r="AI35" i="1"/>
  <c r="AI36" i="1"/>
  <c r="AI47" i="1"/>
  <c r="AM67" i="1" s="1"/>
  <c r="AI50" i="1"/>
  <c r="BK55" i="1" s="1"/>
  <c r="AI61" i="1"/>
  <c r="AO64" i="12" s="1"/>
  <c r="AI62" i="1"/>
  <c r="AI64" i="1"/>
  <c r="AI80" i="11"/>
  <c r="AI103" i="11" s="1"/>
  <c r="AI121" i="11" s="1"/>
  <c r="AI87" i="11"/>
  <c r="AI123" i="11"/>
  <c r="AI106" i="11"/>
  <c r="AI108" i="11"/>
  <c r="AI109" i="11"/>
  <c r="AI110" i="11"/>
  <c r="AI111" i="11"/>
  <c r="AI113" i="11"/>
  <c r="AI124" i="11"/>
  <c r="AI126" i="11"/>
  <c r="AI127" i="11"/>
  <c r="AI134" i="11"/>
  <c r="AI7" i="9"/>
  <c r="AI18" i="9"/>
  <c r="AI54" i="9"/>
  <c r="AI81" i="9"/>
  <c r="AI83" i="9"/>
  <c r="AI84" i="9"/>
  <c r="AI86" i="9"/>
  <c r="AO92" i="12" s="1"/>
  <c r="D40" i="15" l="1"/>
  <c r="D121" i="15" s="1"/>
  <c r="D16" i="15"/>
  <c r="D39" i="15"/>
  <c r="D120" i="15" s="1"/>
  <c r="D15" i="15"/>
  <c r="D13" i="15"/>
  <c r="D18" i="15"/>
  <c r="D11" i="15"/>
  <c r="D42" i="15"/>
  <c r="D49" i="15" s="1"/>
  <c r="H50" i="15" s="1"/>
  <c r="D37" i="15"/>
  <c r="D35" i="15"/>
  <c r="D33" i="15"/>
  <c r="D9" i="15"/>
  <c r="D31" i="15"/>
  <c r="D7" i="15"/>
  <c r="D66" i="15"/>
  <c r="D22" i="15"/>
  <c r="D113" i="15" s="1"/>
  <c r="AM53" i="1"/>
  <c r="AM64" i="4"/>
  <c r="AO447" i="12"/>
  <c r="AM82" i="3"/>
  <c r="AO307" i="12"/>
  <c r="AM68" i="3"/>
  <c r="AO306" i="12"/>
  <c r="AM95" i="3"/>
  <c r="AO308" i="12"/>
  <c r="AJ103" i="6"/>
  <c r="AP153" i="12" s="1"/>
  <c r="AO146" i="12"/>
  <c r="AM22" i="2"/>
  <c r="AS235" i="12" s="1"/>
  <c r="AO234" i="12"/>
  <c r="AJ60" i="9"/>
  <c r="AP29" i="12" s="1"/>
  <c r="AM59" i="9"/>
  <c r="AS23" i="12" s="1"/>
  <c r="AI86" i="5"/>
  <c r="AI95" i="4"/>
  <c r="AI101" i="4" s="1"/>
  <c r="AI68" i="7"/>
  <c r="AI84" i="7"/>
  <c r="AJ54" i="1"/>
  <c r="BN13" i="1"/>
  <c r="BN28" i="1" s="1"/>
  <c r="BK56" i="1" s="1"/>
  <c r="AI46" i="1"/>
  <c r="AI79" i="7"/>
  <c r="AI45" i="6"/>
  <c r="AI68" i="6" s="1"/>
  <c r="AI79" i="6" s="1"/>
  <c r="AI70" i="5"/>
  <c r="AM74" i="5" s="1"/>
  <c r="AI91" i="5"/>
  <c r="AM96" i="5" s="1"/>
  <c r="AI37" i="7"/>
  <c r="AI45" i="1"/>
  <c r="AI44" i="1"/>
  <c r="AI21" i="9"/>
  <c r="AI110" i="3"/>
  <c r="AI118" i="3"/>
  <c r="AO275" i="12" s="1"/>
  <c r="AI58" i="4"/>
  <c r="AI65" i="1"/>
  <c r="AI71" i="4"/>
  <c r="AI23" i="1"/>
  <c r="AI5" i="8"/>
  <c r="AI26" i="8" s="1"/>
  <c r="AM34" i="8" s="1"/>
  <c r="AI37" i="1"/>
  <c r="AI43" i="1"/>
  <c r="AI42" i="1"/>
  <c r="AI11" i="1"/>
  <c r="AI56" i="1"/>
  <c r="AI133" i="11"/>
  <c r="AI87" i="9"/>
  <c r="AI59" i="9"/>
  <c r="AI66" i="9"/>
  <c r="AM74" i="9" s="1"/>
  <c r="AI65" i="9"/>
  <c r="AM73" i="9" s="1"/>
  <c r="AI68" i="9"/>
  <c r="AM76" i="9" s="1"/>
  <c r="AI64" i="9"/>
  <c r="AM72" i="9" s="1"/>
  <c r="AI67" i="9"/>
  <c r="AM75" i="9" s="1"/>
  <c r="AI63" i="9"/>
  <c r="AM71" i="9" s="1"/>
  <c r="H41" i="15" l="1"/>
  <c r="H8" i="15"/>
  <c r="D105" i="15"/>
  <c r="H19" i="15"/>
  <c r="D111" i="15"/>
  <c r="H12" i="15"/>
  <c r="D107" i="15"/>
  <c r="H32" i="15"/>
  <c r="D116" i="15"/>
  <c r="H14" i="15"/>
  <c r="D108" i="15"/>
  <c r="H34" i="15"/>
  <c r="D117" i="15"/>
  <c r="H43" i="15"/>
  <c r="D122" i="15"/>
  <c r="D109" i="15"/>
  <c r="H36" i="15"/>
  <c r="D118" i="15"/>
  <c r="H17" i="15"/>
  <c r="D110" i="15"/>
  <c r="H10" i="15"/>
  <c r="D106" i="15"/>
  <c r="H38" i="15"/>
  <c r="D119" i="15"/>
  <c r="AO69" i="12"/>
  <c r="AM57" i="1"/>
  <c r="D73" i="15"/>
  <c r="D20" i="15"/>
  <c r="D26" i="15"/>
  <c r="D81" i="15"/>
  <c r="D76" i="15"/>
  <c r="D78" i="15"/>
  <c r="D79" i="15"/>
  <c r="D69" i="15"/>
  <c r="D46" i="15"/>
  <c r="H47" i="15" s="1"/>
  <c r="D63" i="15"/>
  <c r="H23" i="15"/>
  <c r="D80" i="15"/>
  <c r="D77" i="15"/>
  <c r="D82" i="15"/>
  <c r="AJ59" i="1"/>
  <c r="AM58" i="1"/>
  <c r="AJ79" i="9"/>
  <c r="AM78" i="9"/>
  <c r="AI78" i="9"/>
  <c r="BL57" i="1"/>
  <c r="AI28" i="8"/>
  <c r="AM36" i="8" s="1"/>
  <c r="AI24" i="8"/>
  <c r="AM32" i="8" s="1"/>
  <c r="AI25" i="8"/>
  <c r="AM33" i="8" s="1"/>
  <c r="AI29" i="8"/>
  <c r="AM37" i="8" s="1"/>
  <c r="AI27" i="8"/>
  <c r="AM35" i="8" s="1"/>
  <c r="AH17" i="8"/>
  <c r="BK25" i="1"/>
  <c r="BL26" i="1" s="1"/>
  <c r="AH81" i="3"/>
  <c r="AH78" i="3"/>
  <c r="AN289" i="12" s="1"/>
  <c r="AH86" i="9"/>
  <c r="AN92" i="12" s="1"/>
  <c r="AH67" i="11"/>
  <c r="D112" i="15" l="1"/>
  <c r="H27" i="15"/>
  <c r="AL82" i="3"/>
  <c r="AN307" i="12"/>
  <c r="BL25" i="1"/>
  <c r="AH97" i="5"/>
  <c r="AH95" i="5"/>
  <c r="AH89" i="5"/>
  <c r="AH88" i="5"/>
  <c r="AH87" i="5"/>
  <c r="AH80" i="5"/>
  <c r="AH78" i="5"/>
  <c r="AH73" i="5"/>
  <c r="AH72" i="5"/>
  <c r="AH69" i="5"/>
  <c r="AH91" i="5" s="1"/>
  <c r="AL96" i="5" s="1"/>
  <c r="AH7" i="5"/>
  <c r="AH102" i="4"/>
  <c r="AN505" i="12" s="1"/>
  <c r="AH96" i="4"/>
  <c r="AH92" i="4"/>
  <c r="AN469" i="12" s="1"/>
  <c r="AH91" i="4"/>
  <c r="AN468" i="12" s="1"/>
  <c r="AH90" i="4"/>
  <c r="AN467" i="12" s="1"/>
  <c r="AH89" i="4"/>
  <c r="AN466" i="12" s="1"/>
  <c r="AH88" i="4"/>
  <c r="AN465" i="12" s="1"/>
  <c r="AH84" i="4"/>
  <c r="AN486" i="12" s="1"/>
  <c r="AH83" i="4"/>
  <c r="AN485" i="12" s="1"/>
  <c r="AH81" i="4"/>
  <c r="AN475" i="12" s="1"/>
  <c r="AH80" i="4"/>
  <c r="AN474" i="12" s="1"/>
  <c r="AH79" i="4"/>
  <c r="AH74" i="4"/>
  <c r="AH72" i="4"/>
  <c r="AH67" i="4"/>
  <c r="AH66" i="4"/>
  <c r="AH62" i="4"/>
  <c r="AH60" i="4"/>
  <c r="AH56" i="4"/>
  <c r="AH52" i="4"/>
  <c r="AH51" i="4"/>
  <c r="AH49" i="4"/>
  <c r="AH46" i="4"/>
  <c r="AL47" i="4" s="1"/>
  <c r="AH45" i="4"/>
  <c r="AH43" i="4"/>
  <c r="AH27" i="7"/>
  <c r="AH85" i="7"/>
  <c r="AH81" i="7"/>
  <c r="AH74" i="7"/>
  <c r="AH73" i="7"/>
  <c r="AH71" i="7"/>
  <c r="AH70" i="7"/>
  <c r="AH66" i="7"/>
  <c r="AH65" i="7"/>
  <c r="AH49" i="7"/>
  <c r="AH46" i="7"/>
  <c r="AH40" i="7"/>
  <c r="AH39" i="7"/>
  <c r="AH28" i="7"/>
  <c r="AH43" i="7"/>
  <c r="AH126" i="3"/>
  <c r="AH124" i="3"/>
  <c r="AH122" i="3"/>
  <c r="AN329" i="12" s="1"/>
  <c r="AH121" i="3"/>
  <c r="AN328" i="12" s="1"/>
  <c r="AH119" i="3"/>
  <c r="AN276" i="12" s="1"/>
  <c r="AH116" i="3"/>
  <c r="AH114" i="3"/>
  <c r="AH113" i="3"/>
  <c r="AH111" i="3"/>
  <c r="AH107" i="3"/>
  <c r="AL108" i="3" s="1"/>
  <c r="AH106" i="3"/>
  <c r="AH104" i="3"/>
  <c r="AH102" i="3"/>
  <c r="AH100" i="3"/>
  <c r="AH98" i="3"/>
  <c r="AH97" i="3"/>
  <c r="AN389" i="12" s="1"/>
  <c r="AH94" i="3"/>
  <c r="AH93" i="3"/>
  <c r="AN296" i="12" s="1"/>
  <c r="AH91" i="3"/>
  <c r="AN290" i="12" s="1"/>
  <c r="AH87" i="3"/>
  <c r="AH85" i="3"/>
  <c r="AH84" i="3"/>
  <c r="AN388" i="12" s="1"/>
  <c r="AH80" i="3"/>
  <c r="AN295" i="12" s="1"/>
  <c r="AH73" i="3"/>
  <c r="AH71" i="3"/>
  <c r="AH70" i="3"/>
  <c r="AN387" i="12" s="1"/>
  <c r="AH67" i="3"/>
  <c r="AH66" i="3"/>
  <c r="AN294" i="12" s="1"/>
  <c r="AH64" i="3"/>
  <c r="AN288" i="12" s="1"/>
  <c r="AH61" i="3"/>
  <c r="AH76" i="3" s="1"/>
  <c r="AH89" i="3" s="1"/>
  <c r="AH108" i="6"/>
  <c r="AH102" i="6"/>
  <c r="AN152" i="12" s="1"/>
  <c r="AH100" i="6"/>
  <c r="AH99" i="6"/>
  <c r="AH94" i="6"/>
  <c r="AH86" i="6"/>
  <c r="AH84" i="6"/>
  <c r="AH82" i="6"/>
  <c r="AH81" i="6"/>
  <c r="AH80" i="6"/>
  <c r="AH75" i="6"/>
  <c r="AH73" i="6"/>
  <c r="AN186" i="12" s="1"/>
  <c r="AH70" i="6"/>
  <c r="AH69" i="6"/>
  <c r="AH66" i="6"/>
  <c r="AH65" i="6"/>
  <c r="AN166" i="12" s="1"/>
  <c r="AH49" i="6"/>
  <c r="AN126" i="12" s="1"/>
  <c r="AH48" i="6"/>
  <c r="AN106" i="12" s="1"/>
  <c r="AH28" i="2"/>
  <c r="AN247" i="12" s="1"/>
  <c r="AH27" i="2"/>
  <c r="AH24" i="2"/>
  <c r="AL25" i="2" s="1"/>
  <c r="AH21" i="2"/>
  <c r="AH19" i="2"/>
  <c r="AH18" i="2"/>
  <c r="AN229" i="12" s="1"/>
  <c r="AH16" i="2"/>
  <c r="AH15" i="2"/>
  <c r="AH48" i="8"/>
  <c r="AH47" i="8"/>
  <c r="AH45" i="8"/>
  <c r="AH44" i="8"/>
  <c r="AH43" i="8"/>
  <c r="AH42" i="8"/>
  <c r="AH41" i="8"/>
  <c r="AH40" i="8"/>
  <c r="AH64" i="1"/>
  <c r="AH62" i="1"/>
  <c r="AH61" i="1"/>
  <c r="AN64" i="12" s="1"/>
  <c r="AH47" i="1"/>
  <c r="AL67" i="1" s="1"/>
  <c r="AH36" i="1"/>
  <c r="AH35" i="1"/>
  <c r="AH34" i="1"/>
  <c r="AH33" i="1"/>
  <c r="AH32" i="1"/>
  <c r="AH31" i="1"/>
  <c r="AH30" i="1"/>
  <c r="AH22" i="1"/>
  <c r="AH21" i="1"/>
  <c r="AH20" i="1"/>
  <c r="AH19" i="1"/>
  <c r="AH18" i="1"/>
  <c r="AH17" i="1"/>
  <c r="AH16" i="1"/>
  <c r="AH13" i="1"/>
  <c r="AH10" i="1"/>
  <c r="AH9" i="1"/>
  <c r="AH8" i="1"/>
  <c r="AH7" i="1"/>
  <c r="AH6" i="1"/>
  <c r="AH5" i="1"/>
  <c r="AH4" i="1"/>
  <c r="AH134" i="11"/>
  <c r="AH127" i="11"/>
  <c r="AH126" i="11"/>
  <c r="AH113" i="11"/>
  <c r="AH111" i="11"/>
  <c r="AH110" i="11"/>
  <c r="AH109" i="11"/>
  <c r="AH108" i="11"/>
  <c r="AH106" i="11"/>
  <c r="AH87" i="11"/>
  <c r="AH80" i="11"/>
  <c r="AH103" i="11" s="1"/>
  <c r="AH121" i="11" s="1"/>
  <c r="AH84" i="9"/>
  <c r="AH83" i="9"/>
  <c r="AH81" i="9"/>
  <c r="AH54" i="9"/>
  <c r="AH18" i="9"/>
  <c r="AH7" i="9"/>
  <c r="C31" i="15" l="1"/>
  <c r="C9" i="15"/>
  <c r="C33" i="15"/>
  <c r="C7" i="15"/>
  <c r="C11" i="15"/>
  <c r="C13" i="15"/>
  <c r="C37" i="15"/>
  <c r="C15" i="15"/>
  <c r="C39" i="15"/>
  <c r="C120" i="15" s="1"/>
  <c r="C16" i="15"/>
  <c r="C40" i="15"/>
  <c r="C121" i="15" s="1"/>
  <c r="C18" i="15"/>
  <c r="C42" i="15"/>
  <c r="C49" i="15" s="1"/>
  <c r="G50" i="15" s="1"/>
  <c r="C66" i="15"/>
  <c r="C22" i="15"/>
  <c r="C113" i="15" s="1"/>
  <c r="BJ18" i="1"/>
  <c r="BK18" i="1" s="1"/>
  <c r="C35" i="15"/>
  <c r="C118" i="15" s="1"/>
  <c r="AL64" i="4"/>
  <c r="AN447" i="12"/>
  <c r="AL95" i="3"/>
  <c r="AN308" i="12"/>
  <c r="AL68" i="3"/>
  <c r="AN306" i="12"/>
  <c r="AI103" i="6"/>
  <c r="AO153" i="12" s="1"/>
  <c r="AN146" i="12"/>
  <c r="AL22" i="2"/>
  <c r="AR235" i="12" s="1"/>
  <c r="AN234" i="12"/>
  <c r="AI60" i="9"/>
  <c r="AO29" i="12" s="1"/>
  <c r="AL59" i="9"/>
  <c r="AR23" i="12" s="1"/>
  <c r="AI54" i="1"/>
  <c r="AL53" i="1"/>
  <c r="AK97" i="4"/>
  <c r="AQ491" i="12" s="1"/>
  <c r="BG20" i="1"/>
  <c r="BG16" i="1"/>
  <c r="BH16" i="1" s="1"/>
  <c r="BG22" i="1"/>
  <c r="BJ20" i="1"/>
  <c r="BK20" i="1" s="1"/>
  <c r="AH66" i="9"/>
  <c r="AL74" i="9" s="1"/>
  <c r="BJ17" i="1"/>
  <c r="BK17" i="1" s="1"/>
  <c r="BJ19" i="1"/>
  <c r="BK19" i="1" s="1"/>
  <c r="BJ21" i="1"/>
  <c r="BK21" i="1" s="1"/>
  <c r="AH42" i="1"/>
  <c r="BJ16" i="1"/>
  <c r="BK16" i="1" s="1"/>
  <c r="BK13" i="1"/>
  <c r="BJ56" i="1" s="1"/>
  <c r="AH44" i="1"/>
  <c r="AH56" i="1"/>
  <c r="AH118" i="3"/>
  <c r="AN275" i="12" s="1"/>
  <c r="AH71" i="4"/>
  <c r="AH63" i="9"/>
  <c r="AL71" i="9" s="1"/>
  <c r="AH67" i="9"/>
  <c r="AL75" i="9" s="1"/>
  <c r="AH133" i="11"/>
  <c r="AH64" i="9"/>
  <c r="AL72" i="9" s="1"/>
  <c r="AH68" i="9"/>
  <c r="AL76" i="9" s="1"/>
  <c r="AH87" i="9"/>
  <c r="AH59" i="9"/>
  <c r="AH65" i="9"/>
  <c r="AL73" i="9" s="1"/>
  <c r="AH110" i="3"/>
  <c r="AH58" i="4"/>
  <c r="AH70" i="5"/>
  <c r="AL74" i="5" s="1"/>
  <c r="AH46" i="1"/>
  <c r="AH45" i="1"/>
  <c r="AH37" i="7"/>
  <c r="AH79" i="7"/>
  <c r="AH63" i="7"/>
  <c r="AH84" i="7"/>
  <c r="AH68" i="7"/>
  <c r="AH43" i="1"/>
  <c r="AH5" i="8"/>
  <c r="AH29" i="8" s="1"/>
  <c r="AL37" i="8" s="1"/>
  <c r="AH37" i="1"/>
  <c r="AH11" i="1"/>
  <c r="AH23" i="1"/>
  <c r="AH65" i="1"/>
  <c r="AH21" i="9"/>
  <c r="AG28" i="7"/>
  <c r="AG27" i="7"/>
  <c r="AG40" i="7"/>
  <c r="AG39" i="7"/>
  <c r="AG48" i="8"/>
  <c r="AG47" i="8"/>
  <c r="AG45" i="8"/>
  <c r="AG44" i="8"/>
  <c r="AG43" i="8"/>
  <c r="AG42" i="8"/>
  <c r="AG41" i="8"/>
  <c r="AG40" i="8"/>
  <c r="AG64" i="1"/>
  <c r="AG62" i="1"/>
  <c r="AG61" i="1"/>
  <c r="AM64" i="12" s="1"/>
  <c r="AG47" i="1"/>
  <c r="AK67" i="1" s="1"/>
  <c r="AG36" i="1"/>
  <c r="AG35" i="1"/>
  <c r="AG34" i="1"/>
  <c r="AG33" i="1"/>
  <c r="AG32" i="1"/>
  <c r="AG31" i="1"/>
  <c r="AG30" i="1"/>
  <c r="AG22" i="1"/>
  <c r="AG21" i="1"/>
  <c r="AG20" i="1"/>
  <c r="AG19" i="1"/>
  <c r="AG18" i="1"/>
  <c r="BH18" i="1" s="1"/>
  <c r="AG17" i="1"/>
  <c r="BH17" i="1" s="1"/>
  <c r="AG16" i="1"/>
  <c r="AG13" i="1"/>
  <c r="AG10" i="1"/>
  <c r="AG9" i="1"/>
  <c r="AG8" i="1"/>
  <c r="AG7" i="1"/>
  <c r="AG6" i="1"/>
  <c r="AG5" i="1"/>
  <c r="AG4" i="1"/>
  <c r="AG87" i="11"/>
  <c r="AG108" i="6"/>
  <c r="AG102" i="6"/>
  <c r="AM152" i="12" s="1"/>
  <c r="AG100" i="6"/>
  <c r="AG99" i="6"/>
  <c r="AG94" i="6"/>
  <c r="AG86" i="6"/>
  <c r="AG84" i="6"/>
  <c r="AG82" i="6"/>
  <c r="AG81" i="6"/>
  <c r="AG80" i="6"/>
  <c r="AG75" i="6"/>
  <c r="AG73" i="6"/>
  <c r="AM186" i="12" s="1"/>
  <c r="AG70" i="6"/>
  <c r="AG69" i="6"/>
  <c r="AG66" i="6"/>
  <c r="AG65" i="6"/>
  <c r="AM166" i="12" s="1"/>
  <c r="AG49" i="6"/>
  <c r="AM126" i="12" s="1"/>
  <c r="AG48" i="6"/>
  <c r="AM106" i="12" s="1"/>
  <c r="AG28" i="2"/>
  <c r="AM247" i="12" s="1"/>
  <c r="AG27" i="2"/>
  <c r="AG24" i="2"/>
  <c r="AK25" i="2" s="1"/>
  <c r="AG21" i="2"/>
  <c r="AG19" i="2"/>
  <c r="AG18" i="2"/>
  <c r="AM229" i="12" s="1"/>
  <c r="C109" i="15" l="1"/>
  <c r="G38" i="15"/>
  <c r="C119" i="15"/>
  <c r="G14" i="15"/>
  <c r="C108" i="15"/>
  <c r="G43" i="15"/>
  <c r="C122" i="15"/>
  <c r="G12" i="15"/>
  <c r="C107" i="15"/>
  <c r="G19" i="15"/>
  <c r="C111" i="15"/>
  <c r="G8" i="15"/>
  <c r="C105" i="15"/>
  <c r="G34" i="15"/>
  <c r="C117" i="15"/>
  <c r="G17" i="15"/>
  <c r="C110" i="15"/>
  <c r="G10" i="15"/>
  <c r="C106" i="15"/>
  <c r="G32" i="15"/>
  <c r="C116" i="15"/>
  <c r="AN69" i="12"/>
  <c r="AL57" i="1"/>
  <c r="C80" i="15"/>
  <c r="C20" i="15"/>
  <c r="C73" i="15"/>
  <c r="C26" i="15"/>
  <c r="C81" i="15"/>
  <c r="G41" i="15"/>
  <c r="C46" i="15"/>
  <c r="G47" i="15" s="1"/>
  <c r="C63" i="15"/>
  <c r="C82" i="15"/>
  <c r="C79" i="15"/>
  <c r="C69" i="15"/>
  <c r="C76" i="15"/>
  <c r="G23" i="15"/>
  <c r="C77" i="15"/>
  <c r="G36" i="15"/>
  <c r="C78" i="15"/>
  <c r="AH103" i="6"/>
  <c r="AN153" i="12" s="1"/>
  <c r="AM146" i="12"/>
  <c r="AK22" i="2"/>
  <c r="AQ235" i="12" s="1"/>
  <c r="AM234" i="12"/>
  <c r="AI79" i="9"/>
  <c r="AL78" i="9"/>
  <c r="AI59" i="1"/>
  <c r="AL58" i="1"/>
  <c r="AG56" i="1"/>
  <c r="AK53" i="1"/>
  <c r="BV13" i="1"/>
  <c r="AH51" i="7"/>
  <c r="BH6" i="2"/>
  <c r="BH7" i="2" s="1"/>
  <c r="BH8" i="2" s="1"/>
  <c r="BP16" i="1"/>
  <c r="BI6" i="2"/>
  <c r="BI7" i="2" s="1"/>
  <c r="BI8" i="2" s="1"/>
  <c r="BG6" i="2"/>
  <c r="BG7" i="2" s="1"/>
  <c r="BG8" i="2" s="1"/>
  <c r="BK57" i="1"/>
  <c r="BH19" i="1"/>
  <c r="BH21" i="1"/>
  <c r="BH20" i="1"/>
  <c r="BH22" i="1"/>
  <c r="AH95" i="4"/>
  <c r="AH101" i="4" s="1"/>
  <c r="AH41" i="4"/>
  <c r="AH54" i="4" s="1"/>
  <c r="AH69" i="4" s="1"/>
  <c r="AH51" i="5"/>
  <c r="AH54" i="1"/>
  <c r="AG44" i="1"/>
  <c r="AH50" i="1"/>
  <c r="BJ55" i="1" s="1"/>
  <c r="AH13" i="2"/>
  <c r="BL14" i="1"/>
  <c r="AH24" i="8"/>
  <c r="AL32" i="8" s="1"/>
  <c r="AH78" i="9"/>
  <c r="AG46" i="1"/>
  <c r="AH25" i="8"/>
  <c r="AL33" i="8" s="1"/>
  <c r="AH27" i="8"/>
  <c r="AL35" i="8" s="1"/>
  <c r="AH26" i="8"/>
  <c r="AL34" i="8" s="1"/>
  <c r="AH28" i="8"/>
  <c r="AL36" i="8" s="1"/>
  <c r="AG42" i="1"/>
  <c r="AG45" i="1"/>
  <c r="AG43" i="1"/>
  <c r="AG65" i="1"/>
  <c r="AG37" i="7"/>
  <c r="AG11" i="1"/>
  <c r="AG23" i="1"/>
  <c r="BH23" i="1" s="1"/>
  <c r="AG37" i="1"/>
  <c r="AG7" i="5"/>
  <c r="G27" i="15" l="1"/>
  <c r="C112" i="15"/>
  <c r="AK57" i="1"/>
  <c r="AK58" i="1"/>
  <c r="AM69" i="12"/>
  <c r="AH52" i="7"/>
  <c r="AH54" i="7"/>
  <c r="AH59" i="1"/>
  <c r="AI51" i="7"/>
  <c r="AH76" i="5"/>
  <c r="AH86" i="5"/>
  <c r="AH20" i="8"/>
  <c r="AG97" i="5"/>
  <c r="AG95" i="5"/>
  <c r="AG89" i="5"/>
  <c r="AG88" i="5"/>
  <c r="AG87" i="5"/>
  <c r="AG80" i="5"/>
  <c r="AG78" i="5"/>
  <c r="AG73" i="5"/>
  <c r="AG72" i="5"/>
  <c r="AG69" i="5"/>
  <c r="AG70" i="5" s="1"/>
  <c r="AK74" i="5" s="1"/>
  <c r="AG43" i="7"/>
  <c r="AG79" i="7" s="1"/>
  <c r="AG102" i="4"/>
  <c r="AM505" i="12" s="1"/>
  <c r="AG96" i="4"/>
  <c r="AJ97" i="4" s="1"/>
  <c r="AP491" i="12" s="1"/>
  <c r="AG92" i="4"/>
  <c r="AM469" i="12" s="1"/>
  <c r="AG91" i="4"/>
  <c r="AM468" i="12" s="1"/>
  <c r="AG90" i="4"/>
  <c r="AM467" i="12" s="1"/>
  <c r="AG89" i="4"/>
  <c r="AM466" i="12" s="1"/>
  <c r="AG88" i="4"/>
  <c r="AM465" i="12" s="1"/>
  <c r="AG84" i="4"/>
  <c r="AM486" i="12" s="1"/>
  <c r="AG83" i="4"/>
  <c r="AM485" i="12" s="1"/>
  <c r="AG81" i="4"/>
  <c r="AM475" i="12" s="1"/>
  <c r="AG80" i="4"/>
  <c r="AM474" i="12" s="1"/>
  <c r="AG74" i="4"/>
  <c r="AG72" i="4"/>
  <c r="AG67" i="4"/>
  <c r="AG66" i="4"/>
  <c r="AG62" i="4"/>
  <c r="AG60" i="4"/>
  <c r="AG56" i="4"/>
  <c r="AG52" i="4"/>
  <c r="AG51" i="4"/>
  <c r="AG49" i="4"/>
  <c r="AG46" i="4"/>
  <c r="AK47" i="4" s="1"/>
  <c r="AG45" i="4"/>
  <c r="AG43" i="4"/>
  <c r="AG79" i="4"/>
  <c r="AG85" i="7"/>
  <c r="AG81" i="7"/>
  <c r="AG74" i="7"/>
  <c r="AG73" i="7"/>
  <c r="AG71" i="7"/>
  <c r="AG70" i="7"/>
  <c r="AG66" i="7"/>
  <c r="AG65" i="7"/>
  <c r="AG51" i="7"/>
  <c r="AG49" i="7"/>
  <c r="AG46" i="7"/>
  <c r="AG126" i="3"/>
  <c r="AG124" i="3"/>
  <c r="AG122" i="3"/>
  <c r="AM329" i="12" s="1"/>
  <c r="AG121" i="3"/>
  <c r="AM328" i="12" s="1"/>
  <c r="AG119" i="3"/>
  <c r="AM276" i="12" s="1"/>
  <c r="AG116" i="3"/>
  <c r="AG114" i="3"/>
  <c r="AG113" i="3"/>
  <c r="AG111" i="3"/>
  <c r="AG107" i="3"/>
  <c r="AK108" i="3" s="1"/>
  <c r="AG106" i="3"/>
  <c r="AG104" i="3"/>
  <c r="AG102" i="3"/>
  <c r="AG100" i="3"/>
  <c r="AG98" i="3"/>
  <c r="AG97" i="3"/>
  <c r="AM389" i="12" s="1"/>
  <c r="AG94" i="3"/>
  <c r="AG93" i="3"/>
  <c r="AM296" i="12" s="1"/>
  <c r="AG91" i="3"/>
  <c r="AM290" i="12" s="1"/>
  <c r="AG87" i="3"/>
  <c r="AG85" i="3"/>
  <c r="AG84" i="3"/>
  <c r="AM388" i="12" s="1"/>
  <c r="AG81" i="3"/>
  <c r="AG80" i="3"/>
  <c r="AM295" i="12" s="1"/>
  <c r="AG78" i="3"/>
  <c r="AM289" i="12" s="1"/>
  <c r="AG73" i="3"/>
  <c r="AG71" i="3"/>
  <c r="AG70" i="3"/>
  <c r="AM387" i="12" s="1"/>
  <c r="AG67" i="3"/>
  <c r="AG66" i="3"/>
  <c r="AM294" i="12" s="1"/>
  <c r="AG64" i="3"/>
  <c r="AM288" i="12" s="1"/>
  <c r="AG61" i="3"/>
  <c r="AG76" i="3" s="1"/>
  <c r="AG89" i="3" s="1"/>
  <c r="AG16" i="2"/>
  <c r="AG15" i="2"/>
  <c r="AG134" i="11"/>
  <c r="AG127" i="11"/>
  <c r="AG126" i="11"/>
  <c r="AG113" i="11"/>
  <c r="AG111" i="11"/>
  <c r="AG110" i="11"/>
  <c r="AG109" i="11"/>
  <c r="AG108" i="11"/>
  <c r="AG106" i="11"/>
  <c r="AG86" i="9"/>
  <c r="AM92" i="12" s="1"/>
  <c r="AG84" i="9"/>
  <c r="AG83" i="9"/>
  <c r="AG81" i="9"/>
  <c r="AG54" i="9"/>
  <c r="AG18" i="9"/>
  <c r="AG7" i="9"/>
  <c r="AK59" i="9" s="1"/>
  <c r="AO23" i="12" l="1"/>
  <c r="AN23" i="12"/>
  <c r="AQ23" i="12"/>
  <c r="AP23" i="12"/>
  <c r="AK64" i="4"/>
  <c r="AM447" i="12"/>
  <c r="AK82" i="3"/>
  <c r="AM307" i="12"/>
  <c r="AK68" i="3"/>
  <c r="AM306" i="12"/>
  <c r="AK95" i="3"/>
  <c r="AM308" i="12"/>
  <c r="AI52" i="7"/>
  <c r="AI54" i="7"/>
  <c r="AJ51" i="7"/>
  <c r="AG68" i="9"/>
  <c r="AK76" i="9" s="1"/>
  <c r="AH60" i="9"/>
  <c r="AN29" i="12" s="1"/>
  <c r="AH45" i="6"/>
  <c r="AH68" i="6" s="1"/>
  <c r="AH79" i="6" s="1"/>
  <c r="AH107" i="6"/>
  <c r="AG41" i="4"/>
  <c r="AG54" i="4" s="1"/>
  <c r="AG69" i="4" s="1"/>
  <c r="AG50" i="1"/>
  <c r="AG13" i="2"/>
  <c r="AG80" i="11"/>
  <c r="AG103" i="11" s="1"/>
  <c r="AG121" i="11" s="1"/>
  <c r="AG52" i="7"/>
  <c r="AG54" i="7"/>
  <c r="AG118" i="3"/>
  <c r="AM275" i="12" s="1"/>
  <c r="AG71" i="4"/>
  <c r="AG133" i="11"/>
  <c r="AG110" i="3"/>
  <c r="AG58" i="4"/>
  <c r="AG91" i="5"/>
  <c r="AK96" i="5" s="1"/>
  <c r="AG68" i="7"/>
  <c r="AG84" i="7"/>
  <c r="AG63" i="7"/>
  <c r="AG5" i="8"/>
  <c r="AG27" i="8" s="1"/>
  <c r="AK35" i="8" s="1"/>
  <c r="AG65" i="9"/>
  <c r="AK73" i="9" s="1"/>
  <c r="AG87" i="9"/>
  <c r="AG21" i="9"/>
  <c r="AG63" i="9"/>
  <c r="AK71" i="9" s="1"/>
  <c r="AG67" i="9"/>
  <c r="AK75" i="9" s="1"/>
  <c r="AG59" i="9"/>
  <c r="AM23" i="12" s="1"/>
  <c r="AG66" i="9"/>
  <c r="AK74" i="9" s="1"/>
  <c r="AG64" i="9"/>
  <c r="AK72" i="9" s="1"/>
  <c r="R16" i="6"/>
  <c r="Q16" i="6"/>
  <c r="P16" i="6"/>
  <c r="O16" i="6"/>
  <c r="N16" i="6"/>
  <c r="M16" i="6"/>
  <c r="L16" i="6"/>
  <c r="Y16" i="6"/>
  <c r="X16" i="6"/>
  <c r="W16" i="6"/>
  <c r="V16" i="6"/>
  <c r="U16" i="6"/>
  <c r="T16" i="6"/>
  <c r="S16" i="6"/>
  <c r="Z16" i="6"/>
  <c r="Y3" i="2"/>
  <c r="X3" i="2"/>
  <c r="W3" i="2"/>
  <c r="V3" i="2"/>
  <c r="Z3" i="2"/>
  <c r="AK51" i="7" l="1"/>
  <c r="AH79" i="9"/>
  <c r="AK78" i="9"/>
  <c r="AJ52" i="7"/>
  <c r="AJ54" i="7"/>
  <c r="AG95" i="4"/>
  <c r="AG101" i="4" s="1"/>
  <c r="AG51" i="5"/>
  <c r="AG20" i="8"/>
  <c r="AG25" i="8"/>
  <c r="AK33" i="8" s="1"/>
  <c r="AG24" i="8"/>
  <c r="AK32" i="8" s="1"/>
  <c r="AG26" i="8"/>
  <c r="AK34" i="8" s="1"/>
  <c r="AG29" i="8"/>
  <c r="AK37" i="8" s="1"/>
  <c r="AG28" i="8"/>
  <c r="AK36" i="8" s="1"/>
  <c r="AG78" i="9"/>
  <c r="K107" i="6"/>
  <c r="L107" i="6"/>
  <c r="M107" i="6"/>
  <c r="N107" i="6"/>
  <c r="O107" i="6"/>
  <c r="P107" i="6"/>
  <c r="Q107" i="6"/>
  <c r="R107" i="6"/>
  <c r="S107" i="6"/>
  <c r="T107" i="6"/>
  <c r="U107" i="6"/>
  <c r="V107" i="6"/>
  <c r="W107" i="6"/>
  <c r="X107" i="6"/>
  <c r="Y107" i="6"/>
  <c r="Z107" i="6"/>
  <c r="AA107" i="6"/>
  <c r="AB107" i="6"/>
  <c r="AC107" i="6"/>
  <c r="AD107" i="6"/>
  <c r="AE107" i="6"/>
  <c r="AF107" i="6"/>
  <c r="K108" i="6"/>
  <c r="L108" i="6"/>
  <c r="M108" i="6"/>
  <c r="N108" i="6"/>
  <c r="O108" i="6"/>
  <c r="P108" i="6"/>
  <c r="Q108" i="6"/>
  <c r="R108" i="6"/>
  <c r="S108" i="6"/>
  <c r="T108" i="6"/>
  <c r="U108" i="6"/>
  <c r="V108" i="6"/>
  <c r="W108" i="6"/>
  <c r="X108" i="6"/>
  <c r="Y108" i="6"/>
  <c r="Z108" i="6"/>
  <c r="AA108" i="6"/>
  <c r="AB108" i="6"/>
  <c r="AC108" i="6"/>
  <c r="AD108" i="6"/>
  <c r="AE108" i="6"/>
  <c r="AF108" i="6"/>
  <c r="J108" i="6"/>
  <c r="J107" i="6"/>
  <c r="AK52" i="7" l="1"/>
  <c r="AK57" i="7"/>
  <c r="AK54" i="7"/>
  <c r="AK60" i="7" s="1"/>
  <c r="AL51" i="7"/>
  <c r="AG76" i="5"/>
  <c r="AG86" i="5"/>
  <c r="AG45" i="6"/>
  <c r="AG68" i="6" s="1"/>
  <c r="AG79" i="6" s="1"/>
  <c r="AG107" i="6"/>
  <c r="AF52" i="4"/>
  <c r="AF51" i="4"/>
  <c r="AF87" i="11"/>
  <c r="AE87" i="11"/>
  <c r="AD87" i="11"/>
  <c r="AF113" i="11"/>
  <c r="AF111" i="11"/>
  <c r="AF110" i="11"/>
  <c r="AF109" i="11"/>
  <c r="AF108" i="11"/>
  <c r="AF106" i="11"/>
  <c r="AF134" i="11"/>
  <c r="AF127" i="11"/>
  <c r="AF126" i="11"/>
  <c r="AF97" i="5"/>
  <c r="AF95" i="5"/>
  <c r="AF89" i="5"/>
  <c r="AF88" i="5"/>
  <c r="AF87" i="5"/>
  <c r="AF80" i="5"/>
  <c r="AF78" i="5"/>
  <c r="AF73" i="5"/>
  <c r="AF72" i="5"/>
  <c r="AF69" i="5"/>
  <c r="AF91" i="5" s="1"/>
  <c r="AJ96" i="5" s="1"/>
  <c r="AF51" i="5"/>
  <c r="AF102" i="4"/>
  <c r="AL505" i="12" s="1"/>
  <c r="AF96" i="4"/>
  <c r="AI97" i="4" s="1"/>
  <c r="AO491" i="12" s="1"/>
  <c r="AF95" i="4"/>
  <c r="AF101" i="4" s="1"/>
  <c r="AF92" i="4"/>
  <c r="AL469" i="12" s="1"/>
  <c r="AF91" i="4"/>
  <c r="AL468" i="12" s="1"/>
  <c r="AF90" i="4"/>
  <c r="AL467" i="12" s="1"/>
  <c r="AF89" i="4"/>
  <c r="AL466" i="12" s="1"/>
  <c r="AF88" i="4"/>
  <c r="AL465" i="12" s="1"/>
  <c r="AF84" i="4"/>
  <c r="AL486" i="12" s="1"/>
  <c r="AF83" i="4"/>
  <c r="AL485" i="12" s="1"/>
  <c r="AF81" i="4"/>
  <c r="AL475" i="12" s="1"/>
  <c r="AF80" i="4"/>
  <c r="AL474" i="12" s="1"/>
  <c r="AF74" i="4"/>
  <c r="AF72" i="4"/>
  <c r="AF67" i="4"/>
  <c r="AF66" i="4"/>
  <c r="AF62" i="4"/>
  <c r="AF60" i="4"/>
  <c r="AF56" i="4"/>
  <c r="AF49" i="4"/>
  <c r="AF46" i="4"/>
  <c r="AJ47" i="4" s="1"/>
  <c r="AF45" i="4"/>
  <c r="AF43" i="4"/>
  <c r="AF41" i="4"/>
  <c r="AF54" i="4" s="1"/>
  <c r="AF69" i="4" s="1"/>
  <c r="AF39" i="4"/>
  <c r="AF38" i="4"/>
  <c r="AF37" i="4"/>
  <c r="AF36" i="4"/>
  <c r="AF35" i="4"/>
  <c r="AF34" i="4"/>
  <c r="AF33" i="4"/>
  <c r="AF32" i="4"/>
  <c r="AF31" i="4"/>
  <c r="AF30" i="4"/>
  <c r="AL408" i="12" s="1"/>
  <c r="AF64" i="1"/>
  <c r="AF62" i="1"/>
  <c r="AF61" i="1"/>
  <c r="AL64" i="12" s="1"/>
  <c r="AF47" i="1"/>
  <c r="AJ67" i="1" s="1"/>
  <c r="AF36" i="1"/>
  <c r="AF35" i="1"/>
  <c r="AF34" i="1"/>
  <c r="AF33" i="1"/>
  <c r="AF32" i="1"/>
  <c r="AF31" i="1"/>
  <c r="AF30" i="1"/>
  <c r="AF22" i="1"/>
  <c r="AF21" i="1"/>
  <c r="AF20" i="1"/>
  <c r="AF19" i="1"/>
  <c r="AF18" i="1"/>
  <c r="AF17" i="1"/>
  <c r="AF16" i="1"/>
  <c r="BQ16" i="1" s="1"/>
  <c r="AF13" i="1"/>
  <c r="AF10" i="1"/>
  <c r="AF9" i="1"/>
  <c r="AF8" i="1"/>
  <c r="AF7" i="1"/>
  <c r="AF6" i="1"/>
  <c r="AF5" i="1"/>
  <c r="AF4" i="1"/>
  <c r="AF85" i="7"/>
  <c r="AF81" i="7"/>
  <c r="AF74" i="7"/>
  <c r="AF73" i="7"/>
  <c r="AF71" i="7"/>
  <c r="AF70" i="7"/>
  <c r="AF66" i="7"/>
  <c r="AF65" i="7"/>
  <c r="AF51" i="7"/>
  <c r="AF49" i="7"/>
  <c r="AF46" i="7"/>
  <c r="AF43" i="7"/>
  <c r="AF79" i="7" s="1"/>
  <c r="AF40" i="7"/>
  <c r="AF39" i="7"/>
  <c r="AF28" i="7"/>
  <c r="AF27" i="7"/>
  <c r="AF126" i="3"/>
  <c r="AF124" i="3"/>
  <c r="AF122" i="3"/>
  <c r="AL329" i="12" s="1"/>
  <c r="AF121" i="3"/>
  <c r="AL328" i="12" s="1"/>
  <c r="AF119" i="3"/>
  <c r="AL276" i="12" s="1"/>
  <c r="AF116" i="3"/>
  <c r="AF114" i="3"/>
  <c r="AF113" i="3"/>
  <c r="AF111" i="3"/>
  <c r="AF107" i="3"/>
  <c r="AJ108" i="3" s="1"/>
  <c r="AF106" i="3"/>
  <c r="AF104" i="3"/>
  <c r="AF102" i="3"/>
  <c r="AF100" i="3"/>
  <c r="AF98" i="3"/>
  <c r="AF97" i="3"/>
  <c r="AL389" i="12" s="1"/>
  <c r="AF94" i="3"/>
  <c r="AF93" i="3"/>
  <c r="AL296" i="12" s="1"/>
  <c r="AF91" i="3"/>
  <c r="AL290" i="12" s="1"/>
  <c r="AF87" i="3"/>
  <c r="AF85" i="3"/>
  <c r="AF84" i="3"/>
  <c r="AL388" i="12" s="1"/>
  <c r="AF81" i="3"/>
  <c r="AF80" i="3"/>
  <c r="AL295" i="12" s="1"/>
  <c r="AF78" i="3"/>
  <c r="AL289" i="12" s="1"/>
  <c r="AF73" i="3"/>
  <c r="AF71" i="3"/>
  <c r="AF70" i="3"/>
  <c r="AL387" i="12" s="1"/>
  <c r="AF67" i="3"/>
  <c r="AF66" i="3"/>
  <c r="AL294" i="12" s="1"/>
  <c r="AF64" i="3"/>
  <c r="AL288" i="12" s="1"/>
  <c r="AF61" i="3"/>
  <c r="AF76" i="3" s="1"/>
  <c r="AF89" i="3" s="1"/>
  <c r="AF84" i="6"/>
  <c r="AF102" i="6"/>
  <c r="AL152" i="12" s="1"/>
  <c r="AF100" i="6"/>
  <c r="AF99" i="6"/>
  <c r="AF94" i="6"/>
  <c r="AF86" i="6"/>
  <c r="AF82" i="6"/>
  <c r="AF81" i="6"/>
  <c r="AF80" i="6"/>
  <c r="AF75" i="6"/>
  <c r="AF73" i="6"/>
  <c r="AL186" i="12" s="1"/>
  <c r="AF70" i="6"/>
  <c r="AF69" i="6"/>
  <c r="AF66" i="6"/>
  <c r="AF65" i="6"/>
  <c r="AL166" i="12" s="1"/>
  <c r="AF49" i="6"/>
  <c r="AL126" i="12" s="1"/>
  <c r="AF45" i="6"/>
  <c r="AF68" i="6" s="1"/>
  <c r="AF79" i="6" s="1"/>
  <c r="AF28" i="2"/>
  <c r="AL247" i="12" s="1"/>
  <c r="AF27" i="2"/>
  <c r="AF24" i="2"/>
  <c r="AJ25" i="2" s="1"/>
  <c r="AF21" i="2"/>
  <c r="AL234" i="12" s="1"/>
  <c r="AF19" i="2"/>
  <c r="AF18" i="2"/>
  <c r="AL229" i="12" s="1"/>
  <c r="AF16" i="2"/>
  <c r="AF48" i="8"/>
  <c r="AF47" i="8"/>
  <c r="AF45" i="8"/>
  <c r="AF44" i="8"/>
  <c r="AF43" i="8"/>
  <c r="AF42" i="8"/>
  <c r="AF41" i="8"/>
  <c r="AF40" i="8"/>
  <c r="AK58" i="7" l="1"/>
  <c r="AJ64" i="4"/>
  <c r="AL447" i="12"/>
  <c r="AL52" i="7"/>
  <c r="AJ82" i="3"/>
  <c r="AL307" i="12"/>
  <c r="AJ68" i="3"/>
  <c r="AL306" i="12"/>
  <c r="AJ95" i="3"/>
  <c r="AL308" i="12"/>
  <c r="AJ57" i="7"/>
  <c r="AG103" i="6"/>
  <c r="AM153" i="12" s="1"/>
  <c r="AL146" i="12"/>
  <c r="AL54" i="7"/>
  <c r="AL57" i="7"/>
  <c r="AM51" i="7"/>
  <c r="BL22" i="2"/>
  <c r="AJ22" i="2"/>
  <c r="AP235" i="12" s="1"/>
  <c r="AG54" i="1"/>
  <c r="AJ53" i="1"/>
  <c r="AG100" i="11"/>
  <c r="AH100" i="11"/>
  <c r="AF118" i="3"/>
  <c r="AL275" i="12" s="1"/>
  <c r="AF71" i="4"/>
  <c r="AF100" i="11"/>
  <c r="AF44" i="1"/>
  <c r="AF133" i="11"/>
  <c r="AF110" i="3"/>
  <c r="AF11" i="1"/>
  <c r="AF43" i="1"/>
  <c r="AF79" i="4"/>
  <c r="AF58" i="4"/>
  <c r="AF42" i="1"/>
  <c r="AE100" i="11"/>
  <c r="AF52" i="7"/>
  <c r="AF70" i="5"/>
  <c r="AJ74" i="5" s="1"/>
  <c r="AF86" i="5"/>
  <c r="AF76" i="5"/>
  <c r="AF45" i="1"/>
  <c r="AF37" i="1"/>
  <c r="AF46" i="1"/>
  <c r="AF23" i="1"/>
  <c r="AF56" i="1"/>
  <c r="AF65" i="1"/>
  <c r="AF37" i="7"/>
  <c r="AF54" i="7"/>
  <c r="AJ60" i="7" s="1"/>
  <c r="AF84" i="7"/>
  <c r="AF68" i="7"/>
  <c r="AF63" i="7"/>
  <c r="AJ57" i="1" l="1"/>
  <c r="AJ131" i="11"/>
  <c r="AI131" i="11"/>
  <c r="AK131" i="11"/>
  <c r="AL60" i="7"/>
  <c r="AJ58" i="7"/>
  <c r="AL58" i="7"/>
  <c r="BL58" i="1"/>
  <c r="AL69" i="12"/>
  <c r="AM57" i="7"/>
  <c r="AM52" i="7"/>
  <c r="AM54" i="7"/>
  <c r="AN51" i="7"/>
  <c r="AI115" i="11"/>
  <c r="AI118" i="11" s="1"/>
  <c r="AL131" i="11"/>
  <c r="AG59" i="1"/>
  <c r="AJ58" i="1"/>
  <c r="AF124" i="11"/>
  <c r="AH115" i="11"/>
  <c r="AH118" i="11" s="1"/>
  <c r="AF115" i="11"/>
  <c r="AF118" i="11" s="1"/>
  <c r="AH123" i="11"/>
  <c r="AH124" i="11"/>
  <c r="AH131" i="11"/>
  <c r="AF131" i="11"/>
  <c r="AG124" i="11"/>
  <c r="AG131" i="11"/>
  <c r="AG123" i="11"/>
  <c r="AF123" i="11"/>
  <c r="AG115" i="11"/>
  <c r="AG118" i="11" s="1"/>
  <c r="AF55" i="7"/>
  <c r="AM60" i="7" l="1"/>
  <c r="AO51" i="7"/>
  <c r="AM58" i="7"/>
  <c r="AN54" i="7"/>
  <c r="AN52" i="7"/>
  <c r="AN57" i="7"/>
  <c r="AF5" i="8"/>
  <c r="AF80" i="11"/>
  <c r="AF103" i="11" s="1"/>
  <c r="AF121" i="11" s="1"/>
  <c r="AF18" i="9"/>
  <c r="AF63" i="9"/>
  <c r="AJ71" i="9" s="1"/>
  <c r="AF87" i="9"/>
  <c r="AF86" i="9"/>
  <c r="AL92" i="12" s="1"/>
  <c r="AF84" i="9"/>
  <c r="AF83" i="9"/>
  <c r="AF81" i="9"/>
  <c r="AF66" i="9"/>
  <c r="AJ74" i="9" s="1"/>
  <c r="AF54" i="9"/>
  <c r="AN60" i="7" l="1"/>
  <c r="AP51" i="7"/>
  <c r="AO52" i="7"/>
  <c r="AO54" i="7"/>
  <c r="AO57" i="7"/>
  <c r="AN58" i="7"/>
  <c r="AF21" i="9"/>
  <c r="AF67" i="9"/>
  <c r="AJ75" i="9" s="1"/>
  <c r="AF60" i="9"/>
  <c r="AL29" i="12" s="1"/>
  <c r="AF68" i="9"/>
  <c r="AJ76" i="9" s="1"/>
  <c r="AF65" i="9"/>
  <c r="AJ73" i="9" s="1"/>
  <c r="AG60" i="9"/>
  <c r="AM29" i="12" s="1"/>
  <c r="AF13" i="2"/>
  <c r="AF64" i="9"/>
  <c r="AJ72" i="9" s="1"/>
  <c r="AF27" i="8"/>
  <c r="AJ35" i="8" s="1"/>
  <c r="AF29" i="8"/>
  <c r="AJ37" i="8" s="1"/>
  <c r="AF26" i="8"/>
  <c r="AJ34" i="8" s="1"/>
  <c r="AF25" i="8"/>
  <c r="AJ33" i="8" s="1"/>
  <c r="AF28" i="8"/>
  <c r="AJ36" i="8" s="1"/>
  <c r="AF24" i="8"/>
  <c r="AJ32" i="8" s="1"/>
  <c r="AF59" i="9"/>
  <c r="AL23" i="12" s="1"/>
  <c r="AO60" i="7" l="1"/>
  <c r="AQ51" i="7"/>
  <c r="AP52" i="7"/>
  <c r="AP57" i="7"/>
  <c r="AP54" i="7"/>
  <c r="AO58" i="7"/>
  <c r="AF78" i="9"/>
  <c r="AJ78" i="9"/>
  <c r="AG79" i="9"/>
  <c r="AF79" i="9"/>
  <c r="AF50" i="1"/>
  <c r="H66" i="6"/>
  <c r="I66" i="6"/>
  <c r="J66" i="6"/>
  <c r="K66" i="6"/>
  <c r="L66" i="6"/>
  <c r="M66" i="6"/>
  <c r="N66" i="6"/>
  <c r="O66" i="6"/>
  <c r="P66" i="6"/>
  <c r="Q66" i="6"/>
  <c r="R66" i="6"/>
  <c r="S66" i="6"/>
  <c r="T66" i="6"/>
  <c r="U66" i="6"/>
  <c r="V66" i="6"/>
  <c r="W66" i="6"/>
  <c r="X66" i="6"/>
  <c r="Y66" i="6"/>
  <c r="Z66" i="6"/>
  <c r="AA66" i="6"/>
  <c r="AB66" i="6"/>
  <c r="AC66" i="6"/>
  <c r="AD66" i="6"/>
  <c r="AE66" i="6"/>
  <c r="G66" i="6"/>
  <c r="AQ52" i="7" l="1"/>
  <c r="AQ58" i="7" s="1"/>
  <c r="AQ57" i="7"/>
  <c r="AQ54" i="7"/>
  <c r="AP58" i="7"/>
  <c r="AP60" i="7"/>
  <c r="AR51" i="7"/>
  <c r="AF20" i="8"/>
  <c r="AD106" i="11"/>
  <c r="AE106" i="11"/>
  <c r="AQ60" i="7" l="1"/>
  <c r="AR57" i="7"/>
  <c r="AS51" i="7"/>
  <c r="AL348" i="12" s="1"/>
  <c r="AR52" i="7"/>
  <c r="AR54" i="7"/>
  <c r="AR60" i="7" s="1"/>
  <c r="AD99" i="6"/>
  <c r="AE99" i="6"/>
  <c r="AD100" i="6"/>
  <c r="AE100" i="6"/>
  <c r="AD102" i="6"/>
  <c r="AE102" i="6"/>
  <c r="AK152" i="12" s="1"/>
  <c r="AE4" i="1"/>
  <c r="AE5" i="1"/>
  <c r="AE6" i="1"/>
  <c r="AE7" i="1"/>
  <c r="AE8" i="1"/>
  <c r="AE9" i="1"/>
  <c r="AE10" i="1"/>
  <c r="AE13" i="1"/>
  <c r="AE16" i="1"/>
  <c r="AE17" i="1"/>
  <c r="AE18" i="1"/>
  <c r="AE19" i="1"/>
  <c r="AE20" i="1"/>
  <c r="AE21" i="1"/>
  <c r="AE22" i="1"/>
  <c r="AE30" i="1"/>
  <c r="AE31" i="1"/>
  <c r="AE32" i="1"/>
  <c r="AE33" i="1"/>
  <c r="AE34" i="1"/>
  <c r="AE35" i="1"/>
  <c r="AE36" i="1"/>
  <c r="AE47" i="1"/>
  <c r="AI67" i="1" s="1"/>
  <c r="AE61" i="1"/>
  <c r="AK64" i="12" s="1"/>
  <c r="AE62" i="1"/>
  <c r="AE64" i="1"/>
  <c r="AE108" i="11"/>
  <c r="AE109" i="11"/>
  <c r="AE110" i="11"/>
  <c r="AE111" i="11"/>
  <c r="AE113" i="11"/>
  <c r="AE123" i="11"/>
  <c r="AE124" i="11"/>
  <c r="AE126" i="11"/>
  <c r="AE127" i="11"/>
  <c r="AE134" i="11"/>
  <c r="AE51" i="5"/>
  <c r="AE69" i="5"/>
  <c r="AE91" i="5" s="1"/>
  <c r="AI96" i="5" s="1"/>
  <c r="AE72" i="5"/>
  <c r="AE73" i="5"/>
  <c r="AE78" i="5"/>
  <c r="AE80" i="5"/>
  <c r="AE87" i="5"/>
  <c r="AE88" i="5"/>
  <c r="AE89" i="5"/>
  <c r="AE95" i="5"/>
  <c r="AE97" i="5"/>
  <c r="AE30" i="4"/>
  <c r="AK408" i="12" s="1"/>
  <c r="AE31" i="4"/>
  <c r="AE32" i="4"/>
  <c r="AE33" i="4"/>
  <c r="AE34" i="4"/>
  <c r="AE35" i="4"/>
  <c r="AE36" i="4"/>
  <c r="AE37" i="4"/>
  <c r="AE38" i="4"/>
  <c r="AE39" i="4"/>
  <c r="AE41" i="4"/>
  <c r="AE54" i="4" s="1"/>
  <c r="AE69" i="4" s="1"/>
  <c r="AE43" i="4"/>
  <c r="AE45" i="4"/>
  <c r="AE46" i="4"/>
  <c r="AI47" i="4" s="1"/>
  <c r="AE49" i="4"/>
  <c r="AE51" i="4"/>
  <c r="AE52" i="4"/>
  <c r="AE56" i="4"/>
  <c r="AE60" i="4"/>
  <c r="AE62" i="4"/>
  <c r="AE66" i="4"/>
  <c r="AE67" i="4"/>
  <c r="AE72" i="4"/>
  <c r="AE74" i="4"/>
  <c r="AE80" i="4"/>
  <c r="AK474" i="12" s="1"/>
  <c r="AE81" i="4"/>
  <c r="AK475" i="12" s="1"/>
  <c r="AE83" i="4"/>
  <c r="AK485" i="12" s="1"/>
  <c r="AE84" i="4"/>
  <c r="AK486" i="12" s="1"/>
  <c r="AE88" i="4"/>
  <c r="AK465" i="12" s="1"/>
  <c r="AE89" i="4"/>
  <c r="AK466" i="12" s="1"/>
  <c r="AE90" i="4"/>
  <c r="AK467" i="12" s="1"/>
  <c r="AE91" i="4"/>
  <c r="AK468" i="12" s="1"/>
  <c r="AE92" i="4"/>
  <c r="AK469" i="12" s="1"/>
  <c r="AE95" i="4"/>
  <c r="AE101" i="4" s="1"/>
  <c r="AE96" i="4"/>
  <c r="AH97" i="4" s="1"/>
  <c r="AN491" i="12" s="1"/>
  <c r="AE102" i="4"/>
  <c r="AK505" i="12" s="1"/>
  <c r="AE27" i="7"/>
  <c r="AE28" i="7"/>
  <c r="AE39" i="7"/>
  <c r="AE40" i="7"/>
  <c r="AE43" i="7"/>
  <c r="AE63" i="7" s="1"/>
  <c r="AE46" i="7"/>
  <c r="AE47" i="7"/>
  <c r="AE49" i="7"/>
  <c r="AE51" i="7"/>
  <c r="AK348" i="12" s="1"/>
  <c r="AE65" i="7"/>
  <c r="AE66" i="7"/>
  <c r="AE70" i="7"/>
  <c r="AE71" i="7"/>
  <c r="AE73" i="7"/>
  <c r="AE74" i="7"/>
  <c r="AE81" i="7"/>
  <c r="AE85" i="7"/>
  <c r="AE61" i="3"/>
  <c r="AE76" i="3" s="1"/>
  <c r="AE89" i="3" s="1"/>
  <c r="AE64" i="3"/>
  <c r="AK288" i="12" s="1"/>
  <c r="AE66" i="3"/>
  <c r="AK294" i="12" s="1"/>
  <c r="AE67" i="3"/>
  <c r="AE70" i="3"/>
  <c r="AK387" i="12" s="1"/>
  <c r="AE71" i="3"/>
  <c r="AE73" i="3"/>
  <c r="AE78" i="3"/>
  <c r="AK289" i="12" s="1"/>
  <c r="AE80" i="3"/>
  <c r="AK295" i="12" s="1"/>
  <c r="AE81" i="3"/>
  <c r="AE84" i="3"/>
  <c r="AK388" i="12" s="1"/>
  <c r="AE85" i="3"/>
  <c r="AE87" i="3"/>
  <c r="AE91" i="3"/>
  <c r="AK290" i="12" s="1"/>
  <c r="AE93" i="3"/>
  <c r="AK296" i="12" s="1"/>
  <c r="AE94" i="3"/>
  <c r="AE97" i="3"/>
  <c r="AK389" i="12" s="1"/>
  <c r="AE98" i="3"/>
  <c r="AE100" i="3"/>
  <c r="AE102" i="3"/>
  <c r="AE104" i="3"/>
  <c r="AE106" i="3"/>
  <c r="AE107" i="3"/>
  <c r="AI108" i="3" s="1"/>
  <c r="AE111" i="3"/>
  <c r="AE113" i="3"/>
  <c r="AE114" i="3"/>
  <c r="AE116" i="3"/>
  <c r="AE119" i="3"/>
  <c r="AK276" i="12" s="1"/>
  <c r="AE121" i="3"/>
  <c r="AK328" i="12" s="1"/>
  <c r="AE122" i="3"/>
  <c r="AK329" i="12" s="1"/>
  <c r="AE124" i="3"/>
  <c r="AE126" i="3"/>
  <c r="AE45" i="6"/>
  <c r="AE68" i="6" s="1"/>
  <c r="AE79" i="6" s="1"/>
  <c r="AE48" i="6"/>
  <c r="AE49" i="6"/>
  <c r="AK126" i="12" s="1"/>
  <c r="AE65" i="6"/>
  <c r="AK166" i="12" s="1"/>
  <c r="AE69" i="6"/>
  <c r="AE70" i="6"/>
  <c r="AE73" i="6"/>
  <c r="AK186" i="12" s="1"/>
  <c r="AE75" i="6"/>
  <c r="AE80" i="6"/>
  <c r="AE81" i="6"/>
  <c r="AE82" i="6"/>
  <c r="AE84" i="6"/>
  <c r="AE86" i="6"/>
  <c r="AE94" i="6"/>
  <c r="AE15" i="2"/>
  <c r="AE16" i="2"/>
  <c r="AE18" i="2"/>
  <c r="AK229" i="12" s="1"/>
  <c r="AE19" i="2"/>
  <c r="AE21" i="2"/>
  <c r="AE24" i="2"/>
  <c r="AI25" i="2" s="1"/>
  <c r="AE27" i="2"/>
  <c r="AE28" i="2"/>
  <c r="AK247" i="12" s="1"/>
  <c r="AD20" i="8"/>
  <c r="AE40" i="8"/>
  <c r="AE41" i="8"/>
  <c r="AE42" i="8"/>
  <c r="AE43" i="8"/>
  <c r="AE44" i="8"/>
  <c r="AE45" i="8"/>
  <c r="AE47" i="8"/>
  <c r="AE48" i="8"/>
  <c r="AE80" i="11"/>
  <c r="AE103" i="11" s="1"/>
  <c r="AE121" i="11" s="1"/>
  <c r="AE54" i="9"/>
  <c r="AE59" i="9"/>
  <c r="AK23" i="12" s="1"/>
  <c r="AE60" i="9"/>
  <c r="AK29" i="12" s="1"/>
  <c r="AE63" i="9"/>
  <c r="AI71" i="9" s="1"/>
  <c r="AE64" i="9"/>
  <c r="AI72" i="9" s="1"/>
  <c r="AE65" i="9"/>
  <c r="AI73" i="9" s="1"/>
  <c r="AE66" i="9"/>
  <c r="AI74" i="9" s="1"/>
  <c r="AE67" i="9"/>
  <c r="AI75" i="9" s="1"/>
  <c r="AE68" i="9"/>
  <c r="AI76" i="9" s="1"/>
  <c r="AE78" i="9"/>
  <c r="AE79" i="9"/>
  <c r="AE81" i="9"/>
  <c r="AE83" i="9"/>
  <c r="AE84" i="9"/>
  <c r="AE87" i="9"/>
  <c r="AI53" i="1" l="1"/>
  <c r="AT51" i="7"/>
  <c r="AS57" i="7"/>
  <c r="AS54" i="7"/>
  <c r="AS52" i="7"/>
  <c r="AL349" i="12" s="1"/>
  <c r="AR58" i="7"/>
  <c r="AJ152" i="12"/>
  <c r="AI64" i="4"/>
  <c r="AK447" i="12"/>
  <c r="AI68" i="3"/>
  <c r="AK306" i="12"/>
  <c r="AI95" i="3"/>
  <c r="AK308" i="12"/>
  <c r="AI82" i="3"/>
  <c r="AK307" i="12"/>
  <c r="AF103" i="6"/>
  <c r="AL153" i="12" s="1"/>
  <c r="AK146" i="12"/>
  <c r="AI22" i="2"/>
  <c r="AO235" i="12" s="1"/>
  <c r="AK234" i="12"/>
  <c r="AE56" i="1"/>
  <c r="AE54" i="7"/>
  <c r="AI60" i="7" s="1"/>
  <c r="AI57" i="7"/>
  <c r="AE79" i="7"/>
  <c r="AE84" i="7"/>
  <c r="AE68" i="7"/>
  <c r="AE58" i="4"/>
  <c r="AF54" i="1"/>
  <c r="AE110" i="3"/>
  <c r="AE79" i="4"/>
  <c r="AE52" i="7"/>
  <c r="AK349" i="12" s="1"/>
  <c r="AE37" i="7"/>
  <c r="AE45" i="1"/>
  <c r="AE86" i="5"/>
  <c r="AE76" i="5"/>
  <c r="AE44" i="1"/>
  <c r="AE42" i="1"/>
  <c r="AE46" i="1"/>
  <c r="AE70" i="5"/>
  <c r="AI74" i="5" s="1"/>
  <c r="AE23" i="1"/>
  <c r="AE37" i="1"/>
  <c r="AE43" i="1"/>
  <c r="AE5" i="8"/>
  <c r="AE24" i="8" s="1"/>
  <c r="AI32" i="8" s="1"/>
  <c r="AE115" i="11"/>
  <c r="AE118" i="11" s="1"/>
  <c r="AE71" i="4"/>
  <c r="AE11" i="1"/>
  <c r="AE133" i="11"/>
  <c r="AE118" i="3"/>
  <c r="AK275" i="12" s="1"/>
  <c r="AE65" i="1"/>
  <c r="AD124" i="11"/>
  <c r="AD123" i="11"/>
  <c r="AD33" i="4"/>
  <c r="AD30" i="4"/>
  <c r="AJ408" i="12" s="1"/>
  <c r="AD31" i="4"/>
  <c r="AD32" i="4"/>
  <c r="AD34" i="4"/>
  <c r="AD35" i="4"/>
  <c r="AD36" i="4"/>
  <c r="AD37" i="4"/>
  <c r="AD38" i="4"/>
  <c r="AD39" i="4"/>
  <c r="AD39" i="7"/>
  <c r="AD40" i="7"/>
  <c r="AD27" i="7"/>
  <c r="AD28" i="7"/>
  <c r="AD45" i="6"/>
  <c r="AD48" i="6"/>
  <c r="AD49" i="6"/>
  <c r="AJ126" i="12" s="1"/>
  <c r="AM348" i="12" l="1"/>
  <c r="AK69" i="12"/>
  <c r="AI57" i="1"/>
  <c r="AT54" i="7"/>
  <c r="AT60" i="7" s="1"/>
  <c r="AT57" i="7"/>
  <c r="AS60" i="7"/>
  <c r="AT52" i="7"/>
  <c r="AT58" i="7" s="1"/>
  <c r="AU51" i="7"/>
  <c r="AS58" i="7"/>
  <c r="AF59" i="1"/>
  <c r="BK58" i="1"/>
  <c r="AI58" i="1"/>
  <c r="AE55" i="7"/>
  <c r="AI58" i="7"/>
  <c r="AE29" i="8"/>
  <c r="AI37" i="8" s="1"/>
  <c r="AE50" i="1"/>
  <c r="AE13" i="2"/>
  <c r="AE26" i="8"/>
  <c r="AI34" i="8" s="1"/>
  <c r="AE28" i="8"/>
  <c r="AI36" i="8" s="1"/>
  <c r="AE27" i="8"/>
  <c r="AI35" i="8" s="1"/>
  <c r="AE25" i="8"/>
  <c r="AI33" i="8" s="1"/>
  <c r="AD37" i="7"/>
  <c r="AD61" i="3"/>
  <c r="AD76" i="3" s="1"/>
  <c r="AD89" i="3" s="1"/>
  <c r="AD4" i="1"/>
  <c r="AD5" i="1"/>
  <c r="AD6" i="1"/>
  <c r="AD7" i="1"/>
  <c r="AD8" i="1"/>
  <c r="AD9" i="1"/>
  <c r="AD10" i="1"/>
  <c r="AD13" i="1"/>
  <c r="AD16" i="1"/>
  <c r="AD17" i="1"/>
  <c r="BL17" i="1" s="1"/>
  <c r="AD18" i="1"/>
  <c r="BL18" i="1" s="1"/>
  <c r="AD19" i="1"/>
  <c r="AD20" i="1"/>
  <c r="AD21" i="1"/>
  <c r="AD22" i="1"/>
  <c r="AD30" i="1"/>
  <c r="AD31" i="1"/>
  <c r="AD32" i="1"/>
  <c r="AD33" i="1"/>
  <c r="AD34" i="1"/>
  <c r="AD35" i="1"/>
  <c r="AD36" i="1"/>
  <c r="AD47" i="1"/>
  <c r="AH67" i="1" s="1"/>
  <c r="AD50" i="1"/>
  <c r="AD61" i="1"/>
  <c r="AJ64" i="12" s="1"/>
  <c r="AD62" i="1"/>
  <c r="AD64" i="1"/>
  <c r="AD51" i="5"/>
  <c r="AD86" i="5" s="1"/>
  <c r="AD69" i="5"/>
  <c r="AD91" i="5" s="1"/>
  <c r="AH96" i="5" s="1"/>
  <c r="AD72" i="5"/>
  <c r="AD73" i="5"/>
  <c r="AD78" i="5"/>
  <c r="AD80" i="5"/>
  <c r="AD87" i="5"/>
  <c r="AD88" i="5"/>
  <c r="AD89" i="5"/>
  <c r="AD95" i="5"/>
  <c r="AD97" i="5"/>
  <c r="AD41" i="4"/>
  <c r="AD54" i="4" s="1"/>
  <c r="AD69" i="4" s="1"/>
  <c r="AD43" i="4"/>
  <c r="AD45" i="4"/>
  <c r="AD46" i="4"/>
  <c r="AH47" i="4" s="1"/>
  <c r="AD49" i="4"/>
  <c r="AD51" i="4"/>
  <c r="AD52" i="4"/>
  <c r="AD56" i="4"/>
  <c r="AD60" i="4"/>
  <c r="AD62" i="4"/>
  <c r="AD66" i="4"/>
  <c r="AD67" i="4"/>
  <c r="AD72" i="4"/>
  <c r="AD74" i="4"/>
  <c r="AD79" i="4"/>
  <c r="AD80" i="4"/>
  <c r="AJ474" i="12" s="1"/>
  <c r="AD81" i="4"/>
  <c r="AJ475" i="12" s="1"/>
  <c r="AD83" i="4"/>
  <c r="AJ485" i="12" s="1"/>
  <c r="AD84" i="4"/>
  <c r="AJ486" i="12" s="1"/>
  <c r="AD88" i="4"/>
  <c r="AJ465" i="12" s="1"/>
  <c r="AD89" i="4"/>
  <c r="AJ466" i="12" s="1"/>
  <c r="AD90" i="4"/>
  <c r="AJ467" i="12" s="1"/>
  <c r="AD91" i="4"/>
  <c r="AJ468" i="12" s="1"/>
  <c r="AD92" i="4"/>
  <c r="AJ469" i="12" s="1"/>
  <c r="AD95" i="4"/>
  <c r="AD101" i="4" s="1"/>
  <c r="AD96" i="4"/>
  <c r="AG97" i="4" s="1"/>
  <c r="AM491" i="12" s="1"/>
  <c r="AD102" i="4"/>
  <c r="AJ505" i="12" s="1"/>
  <c r="AD43" i="7"/>
  <c r="AD68" i="7" s="1"/>
  <c r="AD46" i="7"/>
  <c r="AD47" i="7"/>
  <c r="AD49" i="7"/>
  <c r="AD51" i="7"/>
  <c r="AJ348" i="12" s="1"/>
  <c r="AD65" i="7"/>
  <c r="AD66" i="7"/>
  <c r="AD70" i="7"/>
  <c r="AD71" i="7"/>
  <c r="AD73" i="7"/>
  <c r="AD74" i="7"/>
  <c r="AD81" i="7"/>
  <c r="AH82" i="7" s="1"/>
  <c r="AD85" i="7"/>
  <c r="AD64" i="3"/>
  <c r="AJ288" i="12" s="1"/>
  <c r="AD66" i="3"/>
  <c r="AJ294" i="12" s="1"/>
  <c r="AD67" i="3"/>
  <c r="AD70" i="3"/>
  <c r="AJ387" i="12" s="1"/>
  <c r="AD71" i="3"/>
  <c r="AD73" i="3"/>
  <c r="AD78" i="3"/>
  <c r="AJ289" i="12" s="1"/>
  <c r="AD80" i="3"/>
  <c r="AJ295" i="12" s="1"/>
  <c r="AD81" i="3"/>
  <c r="AD84" i="3"/>
  <c r="AJ388" i="12" s="1"/>
  <c r="AD85" i="3"/>
  <c r="AD87" i="3"/>
  <c r="AD91" i="3"/>
  <c r="AJ290" i="12" s="1"/>
  <c r="AD93" i="3"/>
  <c r="AJ296" i="12" s="1"/>
  <c r="AD94" i="3"/>
  <c r="AD97" i="3"/>
  <c r="AJ389" i="12" s="1"/>
  <c r="AD98" i="3"/>
  <c r="AD100" i="3"/>
  <c r="AD102" i="3"/>
  <c r="AD104" i="3"/>
  <c r="AD106" i="3"/>
  <c r="AD107" i="3"/>
  <c r="AH108" i="3" s="1"/>
  <c r="AD111" i="3"/>
  <c r="AD113" i="3"/>
  <c r="AD114" i="3"/>
  <c r="AD116" i="3"/>
  <c r="AD119" i="3"/>
  <c r="AJ276" i="12" s="1"/>
  <c r="AD121" i="3"/>
  <c r="AJ328" i="12" s="1"/>
  <c r="AD122" i="3"/>
  <c r="AJ329" i="12" s="1"/>
  <c r="AD124" i="3"/>
  <c r="AD126" i="3"/>
  <c r="AD65" i="6"/>
  <c r="AJ166" i="12" s="1"/>
  <c r="AD68" i="6"/>
  <c r="AD79" i="6" s="1"/>
  <c r="AD69" i="6"/>
  <c r="AD70" i="6"/>
  <c r="AD73" i="6"/>
  <c r="AJ186" i="12" s="1"/>
  <c r="AD75" i="6"/>
  <c r="AD80" i="6"/>
  <c r="AD81" i="6"/>
  <c r="AD82" i="6"/>
  <c r="AD84" i="6"/>
  <c r="AD86" i="6"/>
  <c r="AD94" i="6"/>
  <c r="AD13" i="2"/>
  <c r="AD15" i="2"/>
  <c r="AD16" i="2"/>
  <c r="AD18" i="2"/>
  <c r="AJ229" i="12" s="1"/>
  <c r="AD19" i="2"/>
  <c r="AD21" i="2"/>
  <c r="AD24" i="2"/>
  <c r="AH25" i="2" s="1"/>
  <c r="AD27" i="2"/>
  <c r="AD28" i="2"/>
  <c r="AJ247" i="12" s="1"/>
  <c r="AD40" i="8"/>
  <c r="AD41" i="8"/>
  <c r="AD42" i="8"/>
  <c r="AD43" i="8"/>
  <c r="AD44" i="8"/>
  <c r="AD45" i="8"/>
  <c r="AD47" i="8"/>
  <c r="AD48" i="8"/>
  <c r="AD80" i="11"/>
  <c r="AD103" i="11" s="1"/>
  <c r="AD121" i="11" s="1"/>
  <c r="AD108" i="11"/>
  <c r="AD109" i="11"/>
  <c r="AD110" i="11"/>
  <c r="AD111" i="11"/>
  <c r="AD113" i="11"/>
  <c r="AD126" i="11"/>
  <c r="AD127" i="11"/>
  <c r="AD131" i="11"/>
  <c r="AD134" i="11"/>
  <c r="AD54" i="9"/>
  <c r="AD60" i="9"/>
  <c r="AJ29" i="12" s="1"/>
  <c r="AD63" i="9"/>
  <c r="AH71" i="9" s="1"/>
  <c r="AD64" i="9"/>
  <c r="AH72" i="9" s="1"/>
  <c r="AD65" i="9"/>
  <c r="AH73" i="9" s="1"/>
  <c r="AD66" i="9"/>
  <c r="AH74" i="9" s="1"/>
  <c r="AD67" i="9"/>
  <c r="AH75" i="9" s="1"/>
  <c r="AD68" i="9"/>
  <c r="AH76" i="9" s="1"/>
  <c r="AD78" i="9"/>
  <c r="AD79" i="9"/>
  <c r="AD81" i="9"/>
  <c r="AD83" i="9"/>
  <c r="AD84" i="9"/>
  <c r="AD87" i="9"/>
  <c r="AM349" i="12" l="1"/>
  <c r="AN348" i="12"/>
  <c r="AV51" i="7"/>
  <c r="AO348" i="12" s="1"/>
  <c r="AU57" i="7"/>
  <c r="AU54" i="7"/>
  <c r="AU60" i="7" s="1"/>
  <c r="AU52" i="7"/>
  <c r="AN349" i="12" s="1"/>
  <c r="AH64" i="4"/>
  <c r="AJ447" i="12"/>
  <c r="AH68" i="3"/>
  <c r="AJ306" i="12"/>
  <c r="AH82" i="3"/>
  <c r="AJ307" i="12"/>
  <c r="AH95" i="3"/>
  <c r="AJ308" i="12"/>
  <c r="AE103" i="6"/>
  <c r="AK153" i="12" s="1"/>
  <c r="AJ146" i="12"/>
  <c r="AH22" i="2"/>
  <c r="AN235" i="12" s="1"/>
  <c r="AJ234" i="12"/>
  <c r="BL19" i="1"/>
  <c r="BL16" i="1"/>
  <c r="BL21" i="1"/>
  <c r="BL20" i="1"/>
  <c r="AD52" i="7"/>
  <c r="AJ349" i="12" s="1"/>
  <c r="AH57" i="7"/>
  <c r="AE54" i="1"/>
  <c r="BL13" i="1"/>
  <c r="AH53" i="1"/>
  <c r="AE20" i="8"/>
  <c r="AD79" i="7"/>
  <c r="AD76" i="5"/>
  <c r="AD63" i="7"/>
  <c r="AD54" i="7"/>
  <c r="AH60" i="7" s="1"/>
  <c r="AD70" i="5"/>
  <c r="AH74" i="5" s="1"/>
  <c r="AD42" i="1"/>
  <c r="AD56" i="1"/>
  <c r="AD133" i="11"/>
  <c r="AD46" i="1"/>
  <c r="AD5" i="8"/>
  <c r="AD84" i="7"/>
  <c r="AD58" i="4"/>
  <c r="AD65" i="1"/>
  <c r="AD45" i="1"/>
  <c r="AD44" i="1"/>
  <c r="AD23" i="1"/>
  <c r="AD37" i="1"/>
  <c r="AD43" i="1"/>
  <c r="AD71" i="4"/>
  <c r="AD118" i="3"/>
  <c r="AJ275" i="12" s="1"/>
  <c r="AD11" i="1"/>
  <c r="AD110" i="3"/>
  <c r="AD115" i="11"/>
  <c r="AD118" i="11" s="1"/>
  <c r="AC102" i="6"/>
  <c r="AI152" i="12" s="1"/>
  <c r="AC102" i="4"/>
  <c r="AI505" i="12" s="1"/>
  <c r="AC31" i="4"/>
  <c r="AC32" i="4"/>
  <c r="AC34" i="4"/>
  <c r="AC35" i="4"/>
  <c r="AC36" i="4"/>
  <c r="AC37" i="4"/>
  <c r="AC38" i="4"/>
  <c r="AC39" i="4"/>
  <c r="AC30" i="4"/>
  <c r="AC27" i="7"/>
  <c r="AC28" i="7"/>
  <c r="AC39" i="7"/>
  <c r="AC40" i="7"/>
  <c r="AC47" i="1"/>
  <c r="AG67" i="1" s="1"/>
  <c r="AC30" i="1"/>
  <c r="AC31" i="1"/>
  <c r="AC32" i="1"/>
  <c r="AC33" i="1"/>
  <c r="AC34" i="1"/>
  <c r="AC35" i="1"/>
  <c r="AC36" i="1"/>
  <c r="AC4" i="1"/>
  <c r="AC5" i="1"/>
  <c r="AC6" i="1"/>
  <c r="AC7" i="1"/>
  <c r="AC8" i="1"/>
  <c r="AC9" i="1"/>
  <c r="AC10" i="1"/>
  <c r="AC13" i="1"/>
  <c r="AC16" i="1"/>
  <c r="AC17" i="1"/>
  <c r="AC18" i="1"/>
  <c r="AC19" i="1"/>
  <c r="AC20" i="1"/>
  <c r="AC21" i="1"/>
  <c r="AC22" i="1"/>
  <c r="AH57" i="1" l="1"/>
  <c r="AW51" i="7"/>
  <c r="AG53" i="1"/>
  <c r="AV57" i="7"/>
  <c r="AV52" i="7"/>
  <c r="AO349" i="12" s="1"/>
  <c r="AV54" i="7"/>
  <c r="AV60" i="7" s="1"/>
  <c r="AU58" i="7"/>
  <c r="AC408" i="12"/>
  <c r="AB408" i="12"/>
  <c r="AE408" i="12"/>
  <c r="AD408" i="12"/>
  <c r="AG408" i="12"/>
  <c r="AF408" i="12"/>
  <c r="AI408" i="12"/>
  <c r="AH408" i="12"/>
  <c r="BJ58" i="1"/>
  <c r="AJ69" i="12"/>
  <c r="AD55" i="7"/>
  <c r="AH58" i="7"/>
  <c r="AE59" i="1"/>
  <c r="AH58" i="1"/>
  <c r="AD54" i="1"/>
  <c r="AD27" i="8"/>
  <c r="AH35" i="8" s="1"/>
  <c r="AD26" i="8"/>
  <c r="AH34" i="8" s="1"/>
  <c r="AD28" i="8"/>
  <c r="AH36" i="8" s="1"/>
  <c r="AD24" i="8"/>
  <c r="AH32" i="8" s="1"/>
  <c r="AD29" i="8"/>
  <c r="AH37" i="8" s="1"/>
  <c r="AD25" i="8"/>
  <c r="AH33" i="8" s="1"/>
  <c r="AC37" i="7"/>
  <c r="AC43" i="1"/>
  <c r="AC44" i="1"/>
  <c r="AC46" i="1"/>
  <c r="AC45" i="1"/>
  <c r="AC37" i="1"/>
  <c r="AC23" i="1"/>
  <c r="AC5" i="8"/>
  <c r="AC42" i="1"/>
  <c r="AC11" i="1"/>
  <c r="AP348" i="12" l="1"/>
  <c r="AV58" i="7"/>
  <c r="AX51" i="7"/>
  <c r="AQ348" i="12" s="1"/>
  <c r="AW57" i="7"/>
  <c r="AW54" i="7"/>
  <c r="AW60" i="7" s="1"/>
  <c r="AW52" i="7"/>
  <c r="AW58" i="7" s="1"/>
  <c r="AC51" i="5"/>
  <c r="AC86" i="5" s="1"/>
  <c r="AC69" i="5"/>
  <c r="AC70" i="5" s="1"/>
  <c r="AG74" i="5" s="1"/>
  <c r="AC72" i="5"/>
  <c r="AC73" i="5"/>
  <c r="AC78" i="5"/>
  <c r="AC80" i="5"/>
  <c r="AC87" i="5"/>
  <c r="AC88" i="5"/>
  <c r="AC89" i="5"/>
  <c r="AC95" i="5"/>
  <c r="AC97" i="5"/>
  <c r="AC41" i="4"/>
  <c r="AC43" i="4"/>
  <c r="AC45" i="4"/>
  <c r="AC46" i="4"/>
  <c r="AG47" i="4" s="1"/>
  <c r="AC49" i="4"/>
  <c r="AC51" i="4"/>
  <c r="AC52" i="4"/>
  <c r="AC54" i="4"/>
  <c r="AC56" i="4"/>
  <c r="AC58" i="4"/>
  <c r="AC60" i="4"/>
  <c r="AC62" i="4"/>
  <c r="AC66" i="4"/>
  <c r="AC67" i="4"/>
  <c r="AC69" i="4"/>
  <c r="AC71" i="4"/>
  <c r="AC72" i="4"/>
  <c r="AC74" i="4"/>
  <c r="AC79" i="4"/>
  <c r="AC80" i="4"/>
  <c r="AI474" i="12" s="1"/>
  <c r="AC81" i="4"/>
  <c r="AI475" i="12" s="1"/>
  <c r="AC83" i="4"/>
  <c r="AI485" i="12" s="1"/>
  <c r="AC84" i="4"/>
  <c r="AI486" i="12" s="1"/>
  <c r="AC88" i="4"/>
  <c r="AI465" i="12" s="1"/>
  <c r="AC89" i="4"/>
  <c r="AI466" i="12" s="1"/>
  <c r="AC90" i="4"/>
  <c r="AI467" i="12" s="1"/>
  <c r="AC91" i="4"/>
  <c r="AI468" i="12" s="1"/>
  <c r="AC92" i="4"/>
  <c r="AI469" i="12" s="1"/>
  <c r="AC95" i="4"/>
  <c r="AC101" i="4" s="1"/>
  <c r="AC96" i="4"/>
  <c r="AF97" i="4" s="1"/>
  <c r="AL491" i="12" s="1"/>
  <c r="AC43" i="7"/>
  <c r="AC68" i="7" s="1"/>
  <c r="AC46" i="7"/>
  <c r="AC47" i="7"/>
  <c r="AC49" i="7"/>
  <c r="AC51" i="7"/>
  <c r="AI348" i="12" s="1"/>
  <c r="AC65" i="7"/>
  <c r="AC66" i="7"/>
  <c r="AC70" i="7"/>
  <c r="AC71" i="7"/>
  <c r="AC73" i="7"/>
  <c r="AC74" i="7"/>
  <c r="AC81" i="7"/>
  <c r="AG82" i="7" s="1"/>
  <c r="AC85" i="7"/>
  <c r="AC61" i="3"/>
  <c r="AC76" i="3" s="1"/>
  <c r="AC89" i="3" s="1"/>
  <c r="AC64" i="3"/>
  <c r="AI288" i="12" s="1"/>
  <c r="AC66" i="3"/>
  <c r="AI294" i="12" s="1"/>
  <c r="AC67" i="3"/>
  <c r="AC70" i="3"/>
  <c r="AI387" i="12" s="1"/>
  <c r="AC71" i="3"/>
  <c r="AC73" i="3"/>
  <c r="AC78" i="3"/>
  <c r="AI289" i="12" s="1"/>
  <c r="AC80" i="3"/>
  <c r="AI295" i="12" s="1"/>
  <c r="AC81" i="3"/>
  <c r="AC84" i="3"/>
  <c r="AI388" i="12" s="1"/>
  <c r="AC85" i="3"/>
  <c r="AC87" i="3"/>
  <c r="AC91" i="3"/>
  <c r="AI290" i="12" s="1"/>
  <c r="AC93" i="3"/>
  <c r="AI296" i="12" s="1"/>
  <c r="AC94" i="3"/>
  <c r="AC97" i="3"/>
  <c r="AI389" i="12" s="1"/>
  <c r="AC98" i="3"/>
  <c r="AC100" i="3"/>
  <c r="AC102" i="3"/>
  <c r="AC104" i="3"/>
  <c r="AC106" i="3"/>
  <c r="AC107" i="3"/>
  <c r="AG108" i="3" s="1"/>
  <c r="AC110" i="3"/>
  <c r="AC111" i="3"/>
  <c r="AC113" i="3"/>
  <c r="AC114" i="3"/>
  <c r="AC116" i="3"/>
  <c r="AC118" i="3"/>
  <c r="AI275" i="12" s="1"/>
  <c r="AC119" i="3"/>
  <c r="AI276" i="12" s="1"/>
  <c r="AC121" i="3"/>
  <c r="AI328" i="12" s="1"/>
  <c r="AC122" i="3"/>
  <c r="AI329" i="12" s="1"/>
  <c r="AC124" i="3"/>
  <c r="AC126" i="3"/>
  <c r="AC45" i="6"/>
  <c r="AC68" i="6" s="1"/>
  <c r="AC79" i="6" s="1"/>
  <c r="AC48" i="6"/>
  <c r="AC65" i="6"/>
  <c r="AI166" i="12" s="1"/>
  <c r="AC69" i="6"/>
  <c r="AC70" i="6"/>
  <c r="AC73" i="6"/>
  <c r="AI186" i="12" s="1"/>
  <c r="AC75" i="6"/>
  <c r="AC80" i="6"/>
  <c r="AC81" i="6"/>
  <c r="AC82" i="6"/>
  <c r="AC84" i="6"/>
  <c r="AC86" i="6"/>
  <c r="AC94" i="6"/>
  <c r="AC99" i="6"/>
  <c r="AC100" i="6"/>
  <c r="AC13" i="2"/>
  <c r="AC15" i="2"/>
  <c r="AC18" i="2"/>
  <c r="AI229" i="12" s="1"/>
  <c r="AC19" i="2"/>
  <c r="AC21" i="2"/>
  <c r="AC24" i="2"/>
  <c r="AG25" i="2" s="1"/>
  <c r="AC27" i="2"/>
  <c r="AC28" i="2"/>
  <c r="AI247" i="12" s="1"/>
  <c r="AC24" i="8"/>
  <c r="AG32" i="8" s="1"/>
  <c r="AC25" i="8"/>
  <c r="AG33" i="8" s="1"/>
  <c r="AC26" i="8"/>
  <c r="AG34" i="8" s="1"/>
  <c r="AC27" i="8"/>
  <c r="AG35" i="8" s="1"/>
  <c r="AC28" i="8"/>
  <c r="AG36" i="8" s="1"/>
  <c r="AC29" i="8"/>
  <c r="AG37" i="8" s="1"/>
  <c r="AC40" i="8"/>
  <c r="AC41" i="8"/>
  <c r="AC42" i="8"/>
  <c r="AC43" i="8"/>
  <c r="AC44" i="8"/>
  <c r="AC45" i="8"/>
  <c r="AC47" i="8"/>
  <c r="AC48" i="8"/>
  <c r="AC50" i="1"/>
  <c r="AC56" i="1"/>
  <c r="AC61" i="1"/>
  <c r="AI64" i="12" s="1"/>
  <c r="AC62" i="1"/>
  <c r="AC64" i="1"/>
  <c r="AC65" i="1"/>
  <c r="AC103" i="11"/>
  <c r="AC121" i="11" s="1"/>
  <c r="AC106" i="11"/>
  <c r="AC108" i="11"/>
  <c r="AC109" i="11"/>
  <c r="AC110" i="11"/>
  <c r="AC111" i="11"/>
  <c r="AC113" i="11"/>
  <c r="AC123" i="11"/>
  <c r="AC124" i="11"/>
  <c r="AC126" i="11"/>
  <c r="AC127" i="11"/>
  <c r="AC131" i="11"/>
  <c r="AC133" i="11"/>
  <c r="AC134" i="11"/>
  <c r="AC54" i="9"/>
  <c r="AC59" i="9"/>
  <c r="AC60" i="9"/>
  <c r="AI29" i="12" s="1"/>
  <c r="AC63" i="9"/>
  <c r="AG71" i="9" s="1"/>
  <c r="AC64" i="9"/>
  <c r="AG72" i="9" s="1"/>
  <c r="AC65" i="9"/>
  <c r="AG73" i="9" s="1"/>
  <c r="AC66" i="9"/>
  <c r="AG74" i="9" s="1"/>
  <c r="AC67" i="9"/>
  <c r="AG75" i="9" s="1"/>
  <c r="AC68" i="9"/>
  <c r="AG76" i="9" s="1"/>
  <c r="AC78" i="9"/>
  <c r="AC79" i="9"/>
  <c r="AC81" i="9"/>
  <c r="AC83" i="9"/>
  <c r="AC84" i="9"/>
  <c r="AC86" i="9"/>
  <c r="AC87" i="9"/>
  <c r="AP349" i="12" l="1"/>
  <c r="AX54" i="7"/>
  <c r="BB57" i="7"/>
  <c r="AI69" i="12"/>
  <c r="AG57" i="1"/>
  <c r="AY51" i="7"/>
  <c r="AX57" i="7"/>
  <c r="AX52" i="7"/>
  <c r="AQ349" i="12" s="1"/>
  <c r="AG64" i="4"/>
  <c r="AI447" i="12"/>
  <c r="AG82" i="3"/>
  <c r="AI307" i="12"/>
  <c r="AG68" i="3"/>
  <c r="AI306" i="12"/>
  <c r="AG95" i="3"/>
  <c r="AI308" i="12"/>
  <c r="AD103" i="6"/>
  <c r="AJ153" i="12" s="1"/>
  <c r="AI146" i="12"/>
  <c r="AG22" i="2"/>
  <c r="AM235" i="12" s="1"/>
  <c r="AI234" i="12"/>
  <c r="AC91" i="5"/>
  <c r="AG96" i="5" s="1"/>
  <c r="AD59" i="1"/>
  <c r="AG58" i="1"/>
  <c r="AC52" i="7"/>
  <c r="AG57" i="7"/>
  <c r="AC79" i="7"/>
  <c r="AC54" i="7"/>
  <c r="AG60" i="7" s="1"/>
  <c r="AC115" i="11"/>
  <c r="AC118" i="11" s="1"/>
  <c r="AC76" i="5"/>
  <c r="AC63" i="7"/>
  <c r="AC84" i="7"/>
  <c r="AB4" i="2"/>
  <c r="AY54" i="7" l="1"/>
  <c r="BC57" i="7"/>
  <c r="AR348" i="12"/>
  <c r="AX58" i="7"/>
  <c r="BB58" i="7"/>
  <c r="AX60" i="7"/>
  <c r="BB60" i="7"/>
  <c r="AZ51" i="7"/>
  <c r="BA51" i="7"/>
  <c r="AY52" i="7"/>
  <c r="AY57" i="7"/>
  <c r="AB17" i="6"/>
  <c r="AB132" i="3"/>
  <c r="AG58" i="7"/>
  <c r="AI349" i="12"/>
  <c r="AF15" i="2"/>
  <c r="AC55" i="7"/>
  <c r="AC16" i="2"/>
  <c r="AB18" i="6"/>
  <c r="AY58" i="7" l="1"/>
  <c r="BC58" i="7"/>
  <c r="AY60" i="7"/>
  <c r="BC60" i="7"/>
  <c r="AT348" i="12"/>
  <c r="AR349" i="12"/>
  <c r="AS348" i="12"/>
  <c r="AU348" i="12"/>
  <c r="AZ52" i="7"/>
  <c r="AZ58" i="7" s="1"/>
  <c r="AZ57" i="7"/>
  <c r="AZ54" i="7"/>
  <c r="AZ60" i="7" s="1"/>
  <c r="BA54" i="7"/>
  <c r="BA60" i="7" s="1"/>
  <c r="BA52" i="7"/>
  <c r="BA58" i="7" s="1"/>
  <c r="BA57" i="7"/>
  <c r="AC112" i="12"/>
  <c r="AB112" i="12"/>
  <c r="AE112" i="12"/>
  <c r="AD112" i="12"/>
  <c r="AF133" i="3"/>
  <c r="AB133" i="3"/>
  <c r="AG112" i="12"/>
  <c r="AF112" i="12"/>
  <c r="AB19" i="6"/>
  <c r="AH112" i="12"/>
  <c r="AC49" i="6"/>
  <c r="AI126" i="12" s="1"/>
  <c r="AF48" i="6"/>
  <c r="AB102" i="6"/>
  <c r="AH152" i="12" s="1"/>
  <c r="AS349" i="12" l="1"/>
  <c r="AT349" i="12"/>
  <c r="AU349" i="12"/>
  <c r="AJ106" i="12"/>
  <c r="AI106" i="12"/>
  <c r="AL106" i="12"/>
  <c r="AK106" i="12"/>
  <c r="AB18" i="2"/>
  <c r="AH229" i="12" s="1"/>
  <c r="AB122" i="3" l="1"/>
  <c r="AH329" i="12" s="1"/>
  <c r="AB44" i="5" l="1"/>
  <c r="AB48" i="5" s="1"/>
  <c r="AB43" i="5"/>
  <c r="AB97" i="5"/>
  <c r="AB27" i="7"/>
  <c r="AB28" i="7"/>
  <c r="AB40" i="7"/>
  <c r="AB39" i="7"/>
  <c r="AB37" i="7" l="1"/>
  <c r="AB41" i="4"/>
  <c r="AB17" i="8"/>
  <c r="AB4" i="1"/>
  <c r="AB5" i="1"/>
  <c r="AB6" i="1"/>
  <c r="AB7" i="1"/>
  <c r="AB8" i="1"/>
  <c r="AB9" i="1"/>
  <c r="AB49" i="5" s="1"/>
  <c r="AB10" i="1"/>
  <c r="AB13" i="1"/>
  <c r="AB16" i="1"/>
  <c r="AB17" i="1"/>
  <c r="AB18" i="1"/>
  <c r="AB19" i="1"/>
  <c r="AB20" i="1"/>
  <c r="AB21" i="1"/>
  <c r="AB22" i="1"/>
  <c r="AB30" i="1"/>
  <c r="AB31" i="1"/>
  <c r="AB32" i="1"/>
  <c r="AB33" i="1"/>
  <c r="AB34" i="1"/>
  <c r="AB35" i="1"/>
  <c r="AB36" i="1"/>
  <c r="AB47" i="1"/>
  <c r="AF67" i="1" s="1"/>
  <c r="AB87" i="9"/>
  <c r="AC54" i="1" l="1"/>
  <c r="AF53" i="1"/>
  <c r="AB46" i="1"/>
  <c r="AB45" i="1"/>
  <c r="AB44" i="1"/>
  <c r="AB23" i="1"/>
  <c r="AB5" i="8"/>
  <c r="AB27" i="8" s="1"/>
  <c r="AF35" i="8" s="1"/>
  <c r="AB37" i="1"/>
  <c r="AB43" i="1"/>
  <c r="AB42" i="1"/>
  <c r="AB11" i="1"/>
  <c r="AA48" i="6"/>
  <c r="AG106" i="12" s="1"/>
  <c r="AB95" i="5"/>
  <c r="AB89" i="5"/>
  <c r="AB88" i="5"/>
  <c r="AB87" i="5"/>
  <c r="AB80" i="5"/>
  <c r="AB78" i="5"/>
  <c r="AB73" i="5"/>
  <c r="AB72" i="5"/>
  <c r="AB69" i="5"/>
  <c r="AB91" i="5" s="1"/>
  <c r="AF96" i="5" s="1"/>
  <c r="AB51" i="5"/>
  <c r="AB76" i="5" s="1"/>
  <c r="AB102" i="4"/>
  <c r="AH505" i="12" s="1"/>
  <c r="AB96" i="4"/>
  <c r="AE97" i="4" s="1"/>
  <c r="AK491" i="12" s="1"/>
  <c r="AB95" i="4"/>
  <c r="AB101" i="4" s="1"/>
  <c r="AB92" i="4"/>
  <c r="AH469" i="12" s="1"/>
  <c r="AB91" i="4"/>
  <c r="AH468" i="12" s="1"/>
  <c r="AB90" i="4"/>
  <c r="AH467" i="12" s="1"/>
  <c r="AB89" i="4"/>
  <c r="AH466" i="12" s="1"/>
  <c r="AB88" i="4"/>
  <c r="AH465" i="12" s="1"/>
  <c r="AB84" i="4"/>
  <c r="AH486" i="12" s="1"/>
  <c r="AB83" i="4"/>
  <c r="AH485" i="12" s="1"/>
  <c r="AB81" i="4"/>
  <c r="AH475" i="12" s="1"/>
  <c r="AB80" i="4"/>
  <c r="AH474" i="12" s="1"/>
  <c r="AB79" i="4"/>
  <c r="AB74" i="4"/>
  <c r="AB72" i="4"/>
  <c r="AB71" i="4"/>
  <c r="AB69" i="4"/>
  <c r="AB67" i="4"/>
  <c r="AB66" i="4"/>
  <c r="AB62" i="4"/>
  <c r="AB60" i="4"/>
  <c r="AB58" i="4"/>
  <c r="AB56" i="4"/>
  <c r="AB54" i="4"/>
  <c r="AB52" i="4"/>
  <c r="AB51" i="4"/>
  <c r="AB49" i="4"/>
  <c r="AB46" i="4"/>
  <c r="AF47" i="4" s="1"/>
  <c r="AB45" i="4"/>
  <c r="AB43" i="4"/>
  <c r="AB85" i="7"/>
  <c r="AB81" i="7"/>
  <c r="AF82" i="7" s="1"/>
  <c r="AB74" i="7"/>
  <c r="AB71" i="7"/>
  <c r="AB70" i="7"/>
  <c r="AB66" i="7"/>
  <c r="AB65" i="7"/>
  <c r="AB51" i="7"/>
  <c r="AB49" i="7"/>
  <c r="AB47" i="7"/>
  <c r="AB46" i="7"/>
  <c r="AB43" i="7"/>
  <c r="AB79" i="7" s="1"/>
  <c r="AB126" i="3"/>
  <c r="AB124" i="3"/>
  <c r="AB121" i="3"/>
  <c r="AH328" i="12" s="1"/>
  <c r="AB119" i="3"/>
  <c r="AH276" i="12" s="1"/>
  <c r="AB118" i="3"/>
  <c r="AH275" i="12" s="1"/>
  <c r="AB116" i="3"/>
  <c r="AB114" i="3"/>
  <c r="AB113" i="3"/>
  <c r="AB111" i="3"/>
  <c r="AB110" i="3"/>
  <c r="AB107" i="3"/>
  <c r="AF108" i="3" s="1"/>
  <c r="AB106" i="3"/>
  <c r="AB104" i="3"/>
  <c r="AB102" i="3"/>
  <c r="AB100" i="3"/>
  <c r="AB98" i="3"/>
  <c r="AB97" i="3"/>
  <c r="AH389" i="12" s="1"/>
  <c r="AB94" i="3"/>
  <c r="AB93" i="3"/>
  <c r="AH296" i="12" s="1"/>
  <c r="AB91" i="3"/>
  <c r="AH290" i="12" s="1"/>
  <c r="AB87" i="3"/>
  <c r="AB85" i="3"/>
  <c r="AB84" i="3"/>
  <c r="AH388" i="12" s="1"/>
  <c r="AB81" i="3"/>
  <c r="AB80" i="3"/>
  <c r="AH295" i="12" s="1"/>
  <c r="AB78" i="3"/>
  <c r="AH289" i="12" s="1"/>
  <c r="AB73" i="3"/>
  <c r="AB71" i="3"/>
  <c r="AB70" i="3"/>
  <c r="AH387" i="12" s="1"/>
  <c r="AB67" i="3"/>
  <c r="AB66" i="3"/>
  <c r="AH294" i="12" s="1"/>
  <c r="AB64" i="3"/>
  <c r="AH288" i="12" s="1"/>
  <c r="AB61" i="3"/>
  <c r="AB76" i="3" s="1"/>
  <c r="AB89" i="3" s="1"/>
  <c r="AB100" i="6"/>
  <c r="AB99" i="6"/>
  <c r="AB86" i="6"/>
  <c r="AB84" i="6"/>
  <c r="AB82" i="6"/>
  <c r="AB81" i="6"/>
  <c r="AB80" i="6"/>
  <c r="AB75" i="6"/>
  <c r="AB73" i="6"/>
  <c r="AH186" i="12" s="1"/>
  <c r="AB70" i="6"/>
  <c r="AB69" i="6"/>
  <c r="AB65" i="6"/>
  <c r="AH166" i="12" s="1"/>
  <c r="AB49" i="6"/>
  <c r="AH126" i="12" s="1"/>
  <c r="AB48" i="6"/>
  <c r="AH106" i="12" s="1"/>
  <c r="AB45" i="6"/>
  <c r="AB68" i="6" s="1"/>
  <c r="AB79" i="6" s="1"/>
  <c r="AB28" i="2"/>
  <c r="AH247" i="12" s="1"/>
  <c r="AB27" i="2"/>
  <c r="AB24" i="2"/>
  <c r="AF25" i="2" s="1"/>
  <c r="AB21" i="2"/>
  <c r="AB19" i="2"/>
  <c r="AB16" i="2"/>
  <c r="AB15" i="2"/>
  <c r="AB13" i="2"/>
  <c r="AB48" i="8"/>
  <c r="AB47" i="8"/>
  <c r="AB45" i="8"/>
  <c r="AB44" i="8"/>
  <c r="AB43" i="8"/>
  <c r="AB42" i="8"/>
  <c r="AB41" i="8"/>
  <c r="AB40" i="8"/>
  <c r="AB20" i="8"/>
  <c r="AB65" i="1"/>
  <c r="AB64" i="1"/>
  <c r="AB62" i="1"/>
  <c r="AB61" i="1"/>
  <c r="AH64" i="12" s="1"/>
  <c r="AB56" i="1"/>
  <c r="AB50" i="1"/>
  <c r="AB86" i="9"/>
  <c r="AB84" i="9"/>
  <c r="AB83" i="9"/>
  <c r="AB81" i="9"/>
  <c r="AB79" i="9"/>
  <c r="AB78" i="9"/>
  <c r="AB68" i="9"/>
  <c r="AF76" i="9" s="1"/>
  <c r="AB67" i="9"/>
  <c r="AF75" i="9" s="1"/>
  <c r="AB66" i="9"/>
  <c r="AF74" i="9" s="1"/>
  <c r="AB65" i="9"/>
  <c r="AF73" i="9" s="1"/>
  <c r="AB64" i="9"/>
  <c r="AF72" i="9" s="1"/>
  <c r="AB63" i="9"/>
  <c r="AF71" i="9" s="1"/>
  <c r="AB60" i="9"/>
  <c r="AH29" i="12" s="1"/>
  <c r="AB59" i="9"/>
  <c r="AB54" i="9"/>
  <c r="AB134" i="11"/>
  <c r="AB133" i="11"/>
  <c r="AB131" i="11"/>
  <c r="AB127" i="11"/>
  <c r="AB126" i="11"/>
  <c r="AB124" i="11"/>
  <c r="AB123" i="11"/>
  <c r="AB113" i="11"/>
  <c r="AB111" i="11"/>
  <c r="AB110" i="11"/>
  <c r="AB109" i="11"/>
  <c r="AB108" i="11"/>
  <c r="AB106" i="11"/>
  <c r="AB103" i="11"/>
  <c r="AB121" i="11" s="1"/>
  <c r="AH69" i="12" l="1"/>
  <c r="AF57" i="1"/>
  <c r="AF64" i="4"/>
  <c r="AH447" i="12"/>
  <c r="AF68" i="3"/>
  <c r="AH306" i="12"/>
  <c r="AF82" i="3"/>
  <c r="AH307" i="12"/>
  <c r="AF57" i="7"/>
  <c r="AH348" i="12"/>
  <c r="AF95" i="3"/>
  <c r="AH308" i="12"/>
  <c r="AC103" i="6"/>
  <c r="AI153" i="12" s="1"/>
  <c r="AH146" i="12"/>
  <c r="AF22" i="2"/>
  <c r="AL235" i="12" s="1"/>
  <c r="AH234" i="12"/>
  <c r="AC59" i="1"/>
  <c r="AF58" i="1"/>
  <c r="AB29" i="8"/>
  <c r="AF37" i="8" s="1"/>
  <c r="AB25" i="8"/>
  <c r="AF33" i="8" s="1"/>
  <c r="AB52" i="7"/>
  <c r="AB28" i="8"/>
  <c r="AF36" i="8" s="1"/>
  <c r="AB24" i="8"/>
  <c r="AF32" i="8" s="1"/>
  <c r="AB26" i="8"/>
  <c r="AF34" i="8" s="1"/>
  <c r="AB54" i="7"/>
  <c r="AF60" i="7" s="1"/>
  <c r="AB94" i="6"/>
  <c r="AB70" i="5"/>
  <c r="AF74" i="5" s="1"/>
  <c r="AB86" i="5"/>
  <c r="AB68" i="7"/>
  <c r="AB63" i="7"/>
  <c r="AB84" i="7"/>
  <c r="AF58" i="7" l="1"/>
  <c r="AH349" i="12"/>
  <c r="AB55" i="7"/>
  <c r="AF61" i="7" s="1"/>
  <c r="AA28" i="2"/>
  <c r="AG247" i="12" s="1"/>
  <c r="T85" i="7" l="1"/>
  <c r="U85" i="7"/>
  <c r="V85" i="7"/>
  <c r="W85" i="7"/>
  <c r="X85" i="7"/>
  <c r="Y85" i="7"/>
  <c r="Z85" i="7"/>
  <c r="AA85" i="7"/>
  <c r="AA8" i="4" l="1"/>
  <c r="B22" i="1" l="1"/>
  <c r="C22" i="1"/>
  <c r="D22" i="1"/>
  <c r="E22" i="1"/>
  <c r="F22" i="1"/>
  <c r="G22" i="1"/>
  <c r="H22" i="1"/>
  <c r="I22" i="1"/>
  <c r="J22" i="1"/>
  <c r="K22" i="1"/>
  <c r="L22" i="1"/>
  <c r="M22" i="1"/>
  <c r="N22" i="1"/>
  <c r="O22" i="1"/>
  <c r="P22" i="1"/>
  <c r="Q22" i="1"/>
  <c r="R22" i="1"/>
  <c r="S22" i="1"/>
  <c r="T22" i="1"/>
  <c r="U22" i="1"/>
  <c r="V22" i="1"/>
  <c r="W22" i="1"/>
  <c r="X22" i="1"/>
  <c r="Y22" i="1"/>
  <c r="Z22" i="1"/>
  <c r="AA22" i="1"/>
  <c r="AA44" i="5"/>
  <c r="AA48" i="5" s="1"/>
  <c r="AA43" i="5"/>
  <c r="AA19" i="6" l="1"/>
  <c r="AA61" i="1"/>
  <c r="AG64" i="12" s="1"/>
  <c r="AA100" i="11"/>
  <c r="AA25" i="11"/>
  <c r="AA30" i="11" s="1"/>
  <c r="AA82" i="10"/>
  <c r="AA53" i="10"/>
  <c r="AA89" i="10" s="1"/>
  <c r="AA20" i="10"/>
  <c r="AA17" i="8"/>
  <c r="AA13" i="8"/>
  <c r="Z21" i="4"/>
  <c r="AA21" i="4"/>
  <c r="AA28" i="7"/>
  <c r="AA27" i="7"/>
  <c r="Z27" i="7"/>
  <c r="AA40" i="7"/>
  <c r="AA39" i="7"/>
  <c r="AA7" i="2"/>
  <c r="AA20" i="8"/>
  <c r="AA40" i="8"/>
  <c r="AA41" i="8"/>
  <c r="AA42" i="8"/>
  <c r="AA43" i="8"/>
  <c r="AA44" i="8"/>
  <c r="AA45" i="8"/>
  <c r="AA47" i="8"/>
  <c r="AA48" i="8"/>
  <c r="AA32" i="9"/>
  <c r="AA18" i="9"/>
  <c r="AE131" i="11" l="1"/>
  <c r="AA38" i="9"/>
  <c r="AA46" i="9" s="1"/>
  <c r="AA48" i="9" s="1"/>
  <c r="AA49" i="9" s="1"/>
  <c r="AG91" i="12" s="1"/>
  <c r="AB115" i="11"/>
  <c r="AB118" i="11" s="1"/>
  <c r="AA37" i="7"/>
  <c r="AA51" i="5"/>
  <c r="AA86" i="5" s="1"/>
  <c r="AA69" i="5"/>
  <c r="AA88" i="5"/>
  <c r="AA89" i="5"/>
  <c r="AA41" i="4"/>
  <c r="AA43" i="4"/>
  <c r="AA45" i="4"/>
  <c r="AA46" i="4"/>
  <c r="AE47" i="4" s="1"/>
  <c r="AA49" i="4"/>
  <c r="AA51" i="4"/>
  <c r="AA52" i="4"/>
  <c r="AA54" i="4"/>
  <c r="AA56" i="4"/>
  <c r="AA60" i="4"/>
  <c r="AA62" i="4"/>
  <c r="AA66" i="4"/>
  <c r="AA67" i="4"/>
  <c r="AA69" i="4"/>
  <c r="AA72" i="4"/>
  <c r="AA74" i="4"/>
  <c r="AA79" i="4"/>
  <c r="AA80" i="4"/>
  <c r="AG474" i="12" s="1"/>
  <c r="AA81" i="4"/>
  <c r="AG475" i="12" s="1"/>
  <c r="AA83" i="4"/>
  <c r="AG485" i="12" s="1"/>
  <c r="AA84" i="4"/>
  <c r="AG486" i="12" s="1"/>
  <c r="AA88" i="4"/>
  <c r="AG465" i="12" s="1"/>
  <c r="AA89" i="4"/>
  <c r="AG466" i="12" s="1"/>
  <c r="AA90" i="4"/>
  <c r="AG467" i="12" s="1"/>
  <c r="AA91" i="4"/>
  <c r="AG468" i="12" s="1"/>
  <c r="AA92" i="4"/>
  <c r="AG469" i="12" s="1"/>
  <c r="AA95" i="4"/>
  <c r="AA101" i="4" s="1"/>
  <c r="AA96" i="4"/>
  <c r="AD97" i="4" s="1"/>
  <c r="AJ491" i="12" s="1"/>
  <c r="AA102" i="4"/>
  <c r="AG505" i="12" s="1"/>
  <c r="AA43" i="7"/>
  <c r="AA84" i="7" s="1"/>
  <c r="AA46" i="7"/>
  <c r="AA47" i="7"/>
  <c r="AA49" i="7"/>
  <c r="AA51" i="7"/>
  <c r="AG348" i="12" s="1"/>
  <c r="AA65" i="7"/>
  <c r="AA66" i="7"/>
  <c r="AA70" i="7"/>
  <c r="AA71" i="7"/>
  <c r="AA74" i="7"/>
  <c r="AA81" i="7"/>
  <c r="AE82" i="7" s="1"/>
  <c r="AA61" i="3"/>
  <c r="AA76" i="3" s="1"/>
  <c r="AA89" i="3" s="1"/>
  <c r="AA64" i="3"/>
  <c r="AG288" i="12" s="1"/>
  <c r="AA66" i="3"/>
  <c r="AG294" i="12" s="1"/>
  <c r="AA67" i="3"/>
  <c r="AA70" i="3"/>
  <c r="AG387" i="12" s="1"/>
  <c r="AA71" i="3"/>
  <c r="AA73" i="3"/>
  <c r="AA78" i="3"/>
  <c r="AG289" i="12" s="1"/>
  <c r="AA80" i="3"/>
  <c r="AG295" i="12" s="1"/>
  <c r="AA81" i="3"/>
  <c r="AA84" i="3"/>
  <c r="AG388" i="12" s="1"/>
  <c r="AA85" i="3"/>
  <c r="AA87" i="3"/>
  <c r="AA91" i="3"/>
  <c r="AG290" i="12" s="1"/>
  <c r="AA93" i="3"/>
  <c r="AG296" i="12" s="1"/>
  <c r="AA94" i="3"/>
  <c r="AA97" i="3"/>
  <c r="AG389" i="12" s="1"/>
  <c r="AA98" i="3"/>
  <c r="AA100" i="3"/>
  <c r="AA102" i="3"/>
  <c r="AA104" i="3"/>
  <c r="AA106" i="3"/>
  <c r="AA107" i="3"/>
  <c r="AE108" i="3" s="1"/>
  <c r="AA111" i="3"/>
  <c r="AA113" i="3"/>
  <c r="AA114" i="3"/>
  <c r="AA116" i="3"/>
  <c r="AA119" i="3"/>
  <c r="AG276" i="12" s="1"/>
  <c r="AA121" i="3"/>
  <c r="AG328" i="12" s="1"/>
  <c r="AA122" i="3"/>
  <c r="AG329" i="12" s="1"/>
  <c r="AA124" i="3"/>
  <c r="AA126" i="3"/>
  <c r="AA13" i="2"/>
  <c r="AA15" i="2"/>
  <c r="AA16" i="2"/>
  <c r="AA18" i="2"/>
  <c r="AG229" i="12" s="1"/>
  <c r="AA19" i="2"/>
  <c r="AA21" i="2"/>
  <c r="AA24" i="2"/>
  <c r="AE25" i="2" s="1"/>
  <c r="AA27" i="2"/>
  <c r="AA50" i="1"/>
  <c r="AA62" i="1"/>
  <c r="AA64" i="1"/>
  <c r="AA47" i="1"/>
  <c r="AE67" i="1" s="1"/>
  <c r="AA4" i="1"/>
  <c r="AA5" i="1"/>
  <c r="AA6" i="1"/>
  <c r="AA7" i="1"/>
  <c r="AA8" i="1"/>
  <c r="AA9" i="1"/>
  <c r="AA49" i="5" s="1"/>
  <c r="AA10" i="1"/>
  <c r="AA13" i="1"/>
  <c r="AA16" i="1"/>
  <c r="AA17" i="1"/>
  <c r="AA18" i="1"/>
  <c r="AA19" i="1"/>
  <c r="AA20" i="1"/>
  <c r="AA21" i="1"/>
  <c r="AA30" i="1"/>
  <c r="AA31" i="1"/>
  <c r="AA32" i="1"/>
  <c r="AA33" i="1"/>
  <c r="AA34" i="1"/>
  <c r="AA35" i="1"/>
  <c r="AA36" i="1"/>
  <c r="AA46" i="1" s="1"/>
  <c r="AA80" i="11"/>
  <c r="AA103" i="11" s="1"/>
  <c r="AA121" i="11" s="1"/>
  <c r="AA106" i="11"/>
  <c r="AA108" i="11"/>
  <c r="AA109" i="11"/>
  <c r="AA110" i="11"/>
  <c r="AA111" i="11"/>
  <c r="AA113" i="11"/>
  <c r="AA123" i="11"/>
  <c r="AA124" i="11"/>
  <c r="AA126" i="11"/>
  <c r="AA127" i="11"/>
  <c r="AA131" i="11"/>
  <c r="AA134" i="11"/>
  <c r="AA54" i="9"/>
  <c r="AA59" i="9"/>
  <c r="AA63" i="9"/>
  <c r="AE71" i="9" s="1"/>
  <c r="AA64" i="9"/>
  <c r="AE72" i="9" s="1"/>
  <c r="AA65" i="9"/>
  <c r="AE73" i="9" s="1"/>
  <c r="AA66" i="9"/>
  <c r="AE74" i="9" s="1"/>
  <c r="AA67" i="9"/>
  <c r="AE75" i="9" s="1"/>
  <c r="AA68" i="9"/>
  <c r="AE76" i="9" s="1"/>
  <c r="AA78" i="9"/>
  <c r="AA79" i="9"/>
  <c r="AA81" i="9"/>
  <c r="AA83" i="9"/>
  <c r="AA45" i="6"/>
  <c r="AA68" i="6" s="1"/>
  <c r="AA79" i="6" s="1"/>
  <c r="AA49" i="6"/>
  <c r="AG126" i="12" s="1"/>
  <c r="AA65" i="6"/>
  <c r="AG166" i="12" s="1"/>
  <c r="AA69" i="6"/>
  <c r="AA70" i="6"/>
  <c r="AA73" i="6"/>
  <c r="AG186" i="12" s="1"/>
  <c r="AA75" i="6"/>
  <c r="AA80" i="6"/>
  <c r="AA81" i="6"/>
  <c r="AA82" i="6"/>
  <c r="AG146" i="12" s="1"/>
  <c r="AA84" i="6"/>
  <c r="AA86" i="6"/>
  <c r="AA94" i="6"/>
  <c r="AA99" i="6"/>
  <c r="AA100" i="6"/>
  <c r="AA102" i="6"/>
  <c r="AG152" i="12" s="1"/>
  <c r="AE64" i="4" l="1"/>
  <c r="AG447" i="12"/>
  <c r="AE95" i="3"/>
  <c r="AG308" i="12"/>
  <c r="AE68" i="3"/>
  <c r="AG306" i="12"/>
  <c r="AE82" i="3"/>
  <c r="AG307" i="12"/>
  <c r="AE22" i="2"/>
  <c r="AK235" i="12" s="1"/>
  <c r="AG234" i="12"/>
  <c r="AE86" i="9"/>
  <c r="AK92" i="12" s="1"/>
  <c r="AA87" i="9"/>
  <c r="AA84" i="9"/>
  <c r="AA133" i="11"/>
  <c r="AE53" i="1"/>
  <c r="AA52" i="7"/>
  <c r="AE57" i="7"/>
  <c r="AA86" i="9"/>
  <c r="AA76" i="5"/>
  <c r="AA68" i="7"/>
  <c r="AA63" i="7"/>
  <c r="AA71" i="4"/>
  <c r="AB54" i="1"/>
  <c r="AB103" i="6"/>
  <c r="AH153" i="12" s="1"/>
  <c r="AA79" i="7"/>
  <c r="AA5" i="8"/>
  <c r="AA28" i="8" s="1"/>
  <c r="AE36" i="8" s="1"/>
  <c r="AA70" i="5"/>
  <c r="AE74" i="5" s="1"/>
  <c r="AA54" i="7"/>
  <c r="AE60" i="7" s="1"/>
  <c r="AA56" i="1"/>
  <c r="AA118" i="3"/>
  <c r="AG275" i="12" s="1"/>
  <c r="AA58" i="4"/>
  <c r="AA110" i="3"/>
  <c r="AA65" i="1"/>
  <c r="AA91" i="5"/>
  <c r="AE96" i="5" s="1"/>
  <c r="AA45" i="1"/>
  <c r="AA44" i="1"/>
  <c r="AA23" i="1"/>
  <c r="AA37" i="1"/>
  <c r="AA43" i="1"/>
  <c r="AA42" i="1"/>
  <c r="AA11" i="1"/>
  <c r="AA115" i="11"/>
  <c r="AA118" i="11" s="1"/>
  <c r="AG69" i="12" l="1"/>
  <c r="AE57" i="1"/>
  <c r="AE58" i="7"/>
  <c r="AG349" i="12"/>
  <c r="AA55" i="7"/>
  <c r="AE61" i="7" s="1"/>
  <c r="AB59" i="1"/>
  <c r="AE58" i="1"/>
  <c r="AA25" i="8"/>
  <c r="AE33" i="8" s="1"/>
  <c r="AA26" i="8"/>
  <c r="AE34" i="8" s="1"/>
  <c r="AA29" i="8"/>
  <c r="AE37" i="8" s="1"/>
  <c r="AA27" i="8"/>
  <c r="AE35" i="8" s="1"/>
  <c r="AA24" i="8"/>
  <c r="AE32" i="8" s="1"/>
  <c r="I78" i="9"/>
  <c r="J78" i="9"/>
  <c r="K78" i="9"/>
  <c r="L78" i="9"/>
  <c r="M78" i="9"/>
  <c r="N78" i="9"/>
  <c r="X78" i="9"/>
  <c r="Y78" i="9"/>
  <c r="F79" i="9"/>
  <c r="G79" i="9"/>
  <c r="H79" i="9"/>
  <c r="I79" i="9"/>
  <c r="J79" i="9"/>
  <c r="K79" i="9"/>
  <c r="L79" i="9"/>
  <c r="M79" i="9"/>
  <c r="N79" i="9"/>
  <c r="U79" i="9"/>
  <c r="V79" i="9"/>
  <c r="W79" i="9"/>
  <c r="X79" i="9"/>
  <c r="Y79" i="9"/>
  <c r="Z79" i="9"/>
  <c r="Z78" i="9"/>
  <c r="Z124" i="11"/>
  <c r="Z123" i="11"/>
  <c r="Z44" i="5"/>
  <c r="Z48" i="5" s="1"/>
  <c r="Z43" i="5"/>
  <c r="Z122" i="3"/>
  <c r="AF329" i="12" s="1"/>
  <c r="Z100" i="6"/>
  <c r="Z99" i="6"/>
  <c r="Z13" i="1"/>
  <c r="Y13" i="1"/>
  <c r="Z106" i="11"/>
  <c r="F106" i="11"/>
  <c r="G106" i="11"/>
  <c r="H106" i="11"/>
  <c r="I106" i="11"/>
  <c r="J106" i="11"/>
  <c r="K106" i="11"/>
  <c r="L106" i="11"/>
  <c r="M106" i="11"/>
  <c r="N106" i="11"/>
  <c r="O106" i="11"/>
  <c r="P106" i="11"/>
  <c r="Q106" i="11"/>
  <c r="R106" i="11"/>
  <c r="S106" i="11"/>
  <c r="T106" i="11"/>
  <c r="U106" i="11"/>
  <c r="V106" i="11"/>
  <c r="W106" i="11"/>
  <c r="X106" i="11"/>
  <c r="Y106" i="11"/>
  <c r="Z39" i="7"/>
  <c r="Z40" i="7"/>
  <c r="Z28" i="7"/>
  <c r="Z45" i="6"/>
  <c r="Z30" i="1"/>
  <c r="Z31" i="1"/>
  <c r="Z32" i="1"/>
  <c r="Z33" i="1"/>
  <c r="Z34" i="1"/>
  <c r="Z35" i="1"/>
  <c r="Z36" i="1"/>
  <c r="Z47" i="1"/>
  <c r="AD67" i="1" s="1"/>
  <c r="Z16" i="1"/>
  <c r="Z17" i="1"/>
  <c r="Z18" i="1"/>
  <c r="Z19" i="1"/>
  <c r="Z20" i="1"/>
  <c r="Z21" i="1"/>
  <c r="Z4" i="1"/>
  <c r="Z5" i="1"/>
  <c r="Z6" i="1"/>
  <c r="Z7" i="1"/>
  <c r="Z8" i="1"/>
  <c r="Z9" i="1"/>
  <c r="Z10" i="1"/>
  <c r="Z7" i="2"/>
  <c r="Z32" i="9"/>
  <c r="Z18" i="9"/>
  <c r="Z7" i="9"/>
  <c r="Z42" i="1" l="1"/>
  <c r="AC53" i="1"/>
  <c r="AD53" i="1"/>
  <c r="AD59" i="9"/>
  <c r="Z38" i="9"/>
  <c r="Z46" i="9" s="1"/>
  <c r="Z48" i="9" s="1"/>
  <c r="Z49" i="9" s="1"/>
  <c r="AB91" i="12" s="1"/>
  <c r="Z49" i="5"/>
  <c r="Z67" i="9"/>
  <c r="AD75" i="9" s="1"/>
  <c r="AA60" i="9"/>
  <c r="AG29" i="12" s="1"/>
  <c r="Z37" i="7"/>
  <c r="Z133" i="11"/>
  <c r="AA54" i="1"/>
  <c r="Z46" i="1"/>
  <c r="Z45" i="1"/>
  <c r="Z44" i="1"/>
  <c r="Z43" i="1"/>
  <c r="Z5" i="8"/>
  <c r="Z28" i="8" s="1"/>
  <c r="AD36" i="8" s="1"/>
  <c r="Z23" i="1"/>
  <c r="Z11" i="1"/>
  <c r="Z37" i="1"/>
  <c r="Z89" i="5"/>
  <c r="Z88" i="5"/>
  <c r="Z69" i="5"/>
  <c r="Z91" i="5" s="1"/>
  <c r="AD96" i="5" s="1"/>
  <c r="Z51" i="5"/>
  <c r="Z86" i="5" s="1"/>
  <c r="Z102" i="4"/>
  <c r="AF505" i="12" s="1"/>
  <c r="Z96" i="4"/>
  <c r="AC97" i="4" s="1"/>
  <c r="AI491" i="12" s="1"/>
  <c r="Z95" i="4"/>
  <c r="Z101" i="4" s="1"/>
  <c r="Z92" i="4"/>
  <c r="AF469" i="12" s="1"/>
  <c r="Z91" i="4"/>
  <c r="AF468" i="12" s="1"/>
  <c r="Z90" i="4"/>
  <c r="AF467" i="12" s="1"/>
  <c r="Z89" i="4"/>
  <c r="AF466" i="12" s="1"/>
  <c r="Z88" i="4"/>
  <c r="AF465" i="12" s="1"/>
  <c r="Z84" i="4"/>
  <c r="AF486" i="12" s="1"/>
  <c r="Z83" i="4"/>
  <c r="AF485" i="12" s="1"/>
  <c r="Z81" i="4"/>
  <c r="AF475" i="12" s="1"/>
  <c r="Z80" i="4"/>
  <c r="AF474" i="12" s="1"/>
  <c r="Z79" i="4"/>
  <c r="Z74" i="4"/>
  <c r="Z72" i="4"/>
  <c r="Z71" i="4"/>
  <c r="Z69" i="4"/>
  <c r="Z67" i="4"/>
  <c r="Z66" i="4"/>
  <c r="Z62" i="4"/>
  <c r="Z60" i="4"/>
  <c r="Z58" i="4"/>
  <c r="Z56" i="4"/>
  <c r="Z54" i="4"/>
  <c r="Z52" i="4"/>
  <c r="Z51" i="4"/>
  <c r="Z49" i="4"/>
  <c r="Z46" i="4"/>
  <c r="AD47" i="4" s="1"/>
  <c r="Z45" i="4"/>
  <c r="Z43" i="4"/>
  <c r="Z41" i="4"/>
  <c r="Z81" i="7"/>
  <c r="AD82" i="7" s="1"/>
  <c r="Z74" i="7"/>
  <c r="Z71" i="7"/>
  <c r="Z70" i="7"/>
  <c r="Z66" i="7"/>
  <c r="Z65" i="7"/>
  <c r="Z51" i="7"/>
  <c r="Z49" i="7"/>
  <c r="Z47" i="7"/>
  <c r="Z46" i="7"/>
  <c r="Z43" i="7"/>
  <c r="Z126" i="3"/>
  <c r="Z124" i="3"/>
  <c r="Z121" i="3"/>
  <c r="AF328" i="12" s="1"/>
  <c r="Z119" i="3"/>
  <c r="AF276" i="12" s="1"/>
  <c r="Z118" i="3"/>
  <c r="AF275" i="12" s="1"/>
  <c r="Z116" i="3"/>
  <c r="Z114" i="3"/>
  <c r="Z113" i="3"/>
  <c r="Z111" i="3"/>
  <c r="Z110" i="3"/>
  <c r="Z107" i="3"/>
  <c r="AD108" i="3" s="1"/>
  <c r="Z106" i="3"/>
  <c r="Z104" i="3"/>
  <c r="Z102" i="3"/>
  <c r="Z100" i="3"/>
  <c r="Z98" i="3"/>
  <c r="Z97" i="3"/>
  <c r="AF389" i="12" s="1"/>
  <c r="Z94" i="3"/>
  <c r="Z93" i="3"/>
  <c r="AF296" i="12" s="1"/>
  <c r="Z91" i="3"/>
  <c r="AF290" i="12" s="1"/>
  <c r="Z87" i="3"/>
  <c r="Z85" i="3"/>
  <c r="Z84" i="3"/>
  <c r="AF388" i="12" s="1"/>
  <c r="Z81" i="3"/>
  <c r="Z80" i="3"/>
  <c r="AF295" i="12" s="1"/>
  <c r="Z78" i="3"/>
  <c r="AF289" i="12" s="1"/>
  <c r="Z73" i="3"/>
  <c r="Z71" i="3"/>
  <c r="Z70" i="3"/>
  <c r="AF387" i="12" s="1"/>
  <c r="Z67" i="3"/>
  <c r="Z66" i="3"/>
  <c r="AF294" i="12" s="1"/>
  <c r="Z64" i="3"/>
  <c r="AF288" i="12" s="1"/>
  <c r="Z61" i="3"/>
  <c r="Z76" i="3" s="1"/>
  <c r="Z89" i="3" s="1"/>
  <c r="Z102" i="6"/>
  <c r="AF152" i="12" s="1"/>
  <c r="Z91" i="6"/>
  <c r="Z90" i="6"/>
  <c r="Z88" i="6"/>
  <c r="Z87" i="6"/>
  <c r="Z86" i="6"/>
  <c r="Z85" i="6"/>
  <c r="Z84" i="6"/>
  <c r="Z82" i="6"/>
  <c r="Z81" i="6"/>
  <c r="Z80" i="6"/>
  <c r="Z77" i="6"/>
  <c r="Z76" i="6"/>
  <c r="Z75" i="6"/>
  <c r="Z74" i="6"/>
  <c r="Z73" i="6"/>
  <c r="AF186" i="12" s="1"/>
  <c r="Z70" i="6"/>
  <c r="Z69" i="6"/>
  <c r="Z65" i="6"/>
  <c r="AF166" i="12" s="1"/>
  <c r="Z54" i="6"/>
  <c r="Z53" i="6"/>
  <c r="Z52" i="6"/>
  <c r="Z51" i="6"/>
  <c r="Z49" i="6"/>
  <c r="AF126" i="12" s="1"/>
  <c r="Z48" i="6"/>
  <c r="AF106" i="12" s="1"/>
  <c r="Z68" i="6"/>
  <c r="Z79" i="6" s="1"/>
  <c r="Z28" i="2"/>
  <c r="AF247" i="12" s="1"/>
  <c r="Z27" i="2"/>
  <c r="Z24" i="2"/>
  <c r="AD25" i="2" s="1"/>
  <c r="Z21" i="2"/>
  <c r="Z19" i="2"/>
  <c r="Z18" i="2"/>
  <c r="AF229" i="12" s="1"/>
  <c r="Z16" i="2"/>
  <c r="Z15" i="2"/>
  <c r="Z13" i="2"/>
  <c r="Z20" i="8"/>
  <c r="Z48" i="8"/>
  <c r="Z47" i="8"/>
  <c r="Z45" i="8"/>
  <c r="Z44" i="8"/>
  <c r="Z43" i="8"/>
  <c r="Z42" i="8"/>
  <c r="Z41" i="8"/>
  <c r="Z40" i="8"/>
  <c r="Z65" i="1"/>
  <c r="Z64" i="1"/>
  <c r="Z62" i="1"/>
  <c r="Z61" i="1"/>
  <c r="AF64" i="12" s="1"/>
  <c r="Z56" i="1"/>
  <c r="Z54" i="1"/>
  <c r="Z50" i="1"/>
  <c r="Z80" i="11"/>
  <c r="Z103" i="11" s="1"/>
  <c r="Z121" i="11" s="1"/>
  <c r="Z134" i="11"/>
  <c r="Z131" i="11"/>
  <c r="Z127" i="11"/>
  <c r="Z126" i="11"/>
  <c r="Z113" i="11"/>
  <c r="Z111" i="11"/>
  <c r="Z110" i="11"/>
  <c r="Z109" i="11"/>
  <c r="Z108" i="11"/>
  <c r="Z54" i="9"/>
  <c r="Z59" i="9"/>
  <c r="AF23" i="12" s="1"/>
  <c r="Z60" i="9"/>
  <c r="AF29" i="12" s="1"/>
  <c r="Z63" i="9"/>
  <c r="AD71" i="9" s="1"/>
  <c r="Z64" i="9"/>
  <c r="AD72" i="9" s="1"/>
  <c r="Z65" i="9"/>
  <c r="AD73" i="9" s="1"/>
  <c r="Z66" i="9"/>
  <c r="AD74" i="9" s="1"/>
  <c r="Z68" i="9"/>
  <c r="AD76" i="9" s="1"/>
  <c r="Z81" i="9"/>
  <c r="W16" i="1"/>
  <c r="X16" i="1"/>
  <c r="Y16" i="1"/>
  <c r="AF69" i="12" l="1"/>
  <c r="AD57" i="1"/>
  <c r="Z83" i="9"/>
  <c r="AD91" i="12"/>
  <c r="AC91" i="12"/>
  <c r="AH23" i="12"/>
  <c r="AG23" i="12"/>
  <c r="AF91" i="12"/>
  <c r="AE91" i="12"/>
  <c r="AJ23" i="12"/>
  <c r="AI23" i="12"/>
  <c r="AD64" i="4"/>
  <c r="AF447" i="12"/>
  <c r="AD95" i="3"/>
  <c r="AF308" i="12"/>
  <c r="AD82" i="3"/>
  <c r="AF307" i="12"/>
  <c r="AD68" i="3"/>
  <c r="AF306" i="12"/>
  <c r="AD57" i="7"/>
  <c r="AF348" i="12"/>
  <c r="AA103" i="6"/>
  <c r="AG153" i="12" s="1"/>
  <c r="AF146" i="12"/>
  <c r="AD22" i="2"/>
  <c r="AJ235" i="12" s="1"/>
  <c r="AF234" i="12"/>
  <c r="Z84" i="9"/>
  <c r="AD86" i="9"/>
  <c r="Z87" i="9"/>
  <c r="Z86" i="9"/>
  <c r="AF92" i="12" s="1"/>
  <c r="AA59" i="1"/>
  <c r="AD58" i="1"/>
  <c r="Z63" i="7"/>
  <c r="Z84" i="7"/>
  <c r="Z68" i="7"/>
  <c r="Z27" i="8"/>
  <c r="AD35" i="8" s="1"/>
  <c r="Z29" i="8"/>
  <c r="AD37" i="8" s="1"/>
  <c r="Z79" i="7"/>
  <c r="Z25" i="8"/>
  <c r="AD33" i="8" s="1"/>
  <c r="Z70" i="5"/>
  <c r="AD74" i="5" s="1"/>
  <c r="Z24" i="8"/>
  <c r="AD32" i="8" s="1"/>
  <c r="Z26" i="8"/>
  <c r="AD34" i="8" s="1"/>
  <c r="Z52" i="7"/>
  <c r="AF349" i="12" s="1"/>
  <c r="Z54" i="7"/>
  <c r="AD60" i="7" s="1"/>
  <c r="Z95" i="6"/>
  <c r="Z97" i="6"/>
  <c r="Z96" i="6"/>
  <c r="Z94" i="6"/>
  <c r="Z115" i="11"/>
  <c r="Z118" i="11" s="1"/>
  <c r="Z76" i="5"/>
  <c r="AH92" i="12" l="1"/>
  <c r="AG92" i="12"/>
  <c r="AJ92" i="12"/>
  <c r="AI92" i="12"/>
  <c r="Z55" i="7"/>
  <c r="AD61" i="7" s="1"/>
  <c r="AD58" i="7"/>
  <c r="B122" i="3"/>
  <c r="C122" i="3"/>
  <c r="D122" i="3"/>
  <c r="E122" i="3"/>
  <c r="F122" i="3"/>
  <c r="G122" i="3"/>
  <c r="H122" i="3"/>
  <c r="I122" i="3"/>
  <c r="J122" i="3"/>
  <c r="K122" i="3"/>
  <c r="L122" i="3"/>
  <c r="M122" i="3"/>
  <c r="N122" i="3"/>
  <c r="O122" i="3"/>
  <c r="P122" i="3"/>
  <c r="Q122" i="3"/>
  <c r="R122" i="3"/>
  <c r="S122" i="3"/>
  <c r="T122" i="3"/>
  <c r="U122" i="3"/>
  <c r="V122" i="3"/>
  <c r="W122" i="3"/>
  <c r="X122" i="3"/>
  <c r="Y122" i="3"/>
  <c r="AE329" i="12" s="1"/>
  <c r="AC329" i="12" l="1"/>
  <c r="AD329" i="12"/>
  <c r="AB329" i="12"/>
  <c r="B119" i="3"/>
  <c r="C119" i="3"/>
  <c r="D119" i="3"/>
  <c r="E119" i="3"/>
  <c r="F119" i="3"/>
  <c r="G119" i="3"/>
  <c r="H119" i="3"/>
  <c r="I119" i="3"/>
  <c r="J119" i="3"/>
  <c r="K119" i="3"/>
  <c r="L119" i="3"/>
  <c r="M119" i="3"/>
  <c r="N119" i="3"/>
  <c r="O119" i="3"/>
  <c r="P119" i="3"/>
  <c r="Q119" i="3"/>
  <c r="R119" i="3"/>
  <c r="S119" i="3"/>
  <c r="T119" i="3"/>
  <c r="U119" i="3"/>
  <c r="V119" i="3"/>
  <c r="W119" i="3"/>
  <c r="X119" i="3"/>
  <c r="Y119" i="3"/>
  <c r="AE276" i="12" s="1"/>
  <c r="T81" i="7"/>
  <c r="U81" i="7"/>
  <c r="V81" i="7"/>
  <c r="Z82" i="7" s="1"/>
  <c r="W81" i="7"/>
  <c r="AA82" i="7" s="1"/>
  <c r="X81" i="7"/>
  <c r="AB82" i="7" s="1"/>
  <c r="Y81" i="7"/>
  <c r="AC82" i="7" s="1"/>
  <c r="AD276" i="12" l="1"/>
  <c r="AB276" i="12"/>
  <c r="AC276" i="12"/>
  <c r="X82" i="7"/>
  <c r="Y82" i="7"/>
  <c r="D102" i="4"/>
  <c r="E102" i="4"/>
  <c r="F102" i="4"/>
  <c r="G102" i="4"/>
  <c r="H102" i="4"/>
  <c r="I102" i="4"/>
  <c r="J102" i="4"/>
  <c r="K102" i="4"/>
  <c r="L102" i="4"/>
  <c r="M102" i="4"/>
  <c r="N102" i="4"/>
  <c r="O102" i="4"/>
  <c r="P102" i="4"/>
  <c r="Q102" i="4"/>
  <c r="R102" i="4"/>
  <c r="S102" i="4"/>
  <c r="T102" i="4"/>
  <c r="U102" i="4"/>
  <c r="V102" i="4"/>
  <c r="AB505" i="12" s="1"/>
  <c r="W102" i="4"/>
  <c r="X102" i="4"/>
  <c r="AD505" i="12" s="1"/>
  <c r="Y102" i="4"/>
  <c r="AE505" i="12" s="1"/>
  <c r="C102" i="4"/>
  <c r="AC505" i="12" l="1"/>
  <c r="D95" i="4"/>
  <c r="D101" i="4" s="1"/>
  <c r="E95" i="4"/>
  <c r="E101" i="4" s="1"/>
  <c r="F95" i="4"/>
  <c r="F101" i="4" s="1"/>
  <c r="G95" i="4"/>
  <c r="G101" i="4" s="1"/>
  <c r="H95" i="4"/>
  <c r="H101" i="4" s="1"/>
  <c r="I95" i="4"/>
  <c r="I101" i="4" s="1"/>
  <c r="J95" i="4"/>
  <c r="J101" i="4" s="1"/>
  <c r="K95" i="4"/>
  <c r="K101" i="4" s="1"/>
  <c r="L95" i="4"/>
  <c r="L101" i="4" s="1"/>
  <c r="M95" i="4"/>
  <c r="M101" i="4" s="1"/>
  <c r="N95" i="4"/>
  <c r="N101" i="4" s="1"/>
  <c r="O95" i="4"/>
  <c r="O101" i="4" s="1"/>
  <c r="P95" i="4"/>
  <c r="P101" i="4" s="1"/>
  <c r="Q95" i="4"/>
  <c r="Q101" i="4" s="1"/>
  <c r="R95" i="4"/>
  <c r="R101" i="4" s="1"/>
  <c r="S95" i="4"/>
  <c r="S101" i="4" s="1"/>
  <c r="T95" i="4"/>
  <c r="T101" i="4" s="1"/>
  <c r="U95" i="4"/>
  <c r="U101" i="4" s="1"/>
  <c r="V95" i="4"/>
  <c r="V101" i="4" s="1"/>
  <c r="W95" i="4"/>
  <c r="W101" i="4" s="1"/>
  <c r="X95" i="4"/>
  <c r="X101" i="4" s="1"/>
  <c r="Y95" i="4"/>
  <c r="Y101" i="4" s="1"/>
  <c r="D96" i="4"/>
  <c r="E96" i="4"/>
  <c r="F96" i="4"/>
  <c r="G96" i="4"/>
  <c r="H96" i="4"/>
  <c r="I96" i="4"/>
  <c r="J96" i="4"/>
  <c r="K96" i="4"/>
  <c r="L96" i="4"/>
  <c r="M96" i="4"/>
  <c r="N96" i="4"/>
  <c r="O96" i="4"/>
  <c r="P96" i="4"/>
  <c r="Q96" i="4"/>
  <c r="R96" i="4"/>
  <c r="S96" i="4"/>
  <c r="T96" i="4"/>
  <c r="U96" i="4"/>
  <c r="V96" i="4"/>
  <c r="W96" i="4"/>
  <c r="X96" i="4"/>
  <c r="Y96" i="4"/>
  <c r="AB97" i="4" s="1"/>
  <c r="AH491" i="12" s="1"/>
  <c r="C95" i="4"/>
  <c r="C101" i="4" s="1"/>
  <c r="C96" i="4"/>
  <c r="G88" i="4"/>
  <c r="H88" i="4"/>
  <c r="I88" i="4"/>
  <c r="J88" i="4"/>
  <c r="K88" i="4"/>
  <c r="L88" i="4"/>
  <c r="M88" i="4"/>
  <c r="N88" i="4"/>
  <c r="O88" i="4"/>
  <c r="P88" i="4"/>
  <c r="Q88" i="4"/>
  <c r="R88" i="4"/>
  <c r="S88" i="4"/>
  <c r="T88" i="4"/>
  <c r="U88" i="4"/>
  <c r="V88" i="4"/>
  <c r="W88" i="4"/>
  <c r="X88" i="4"/>
  <c r="AD465" i="12" s="1"/>
  <c r="Y88" i="4"/>
  <c r="AE465" i="12" s="1"/>
  <c r="F88" i="4"/>
  <c r="G92" i="4"/>
  <c r="H92" i="4"/>
  <c r="I92" i="4"/>
  <c r="J92" i="4"/>
  <c r="K92" i="4"/>
  <c r="L92" i="4"/>
  <c r="M92" i="4"/>
  <c r="N92" i="4"/>
  <c r="O92" i="4"/>
  <c r="P92" i="4"/>
  <c r="Q92" i="4"/>
  <c r="R92" i="4"/>
  <c r="S92" i="4"/>
  <c r="T92" i="4"/>
  <c r="U92" i="4"/>
  <c r="V92" i="4"/>
  <c r="W92" i="4"/>
  <c r="X92" i="4"/>
  <c r="AD469" i="12" s="1"/>
  <c r="Y92" i="4"/>
  <c r="AE469" i="12" s="1"/>
  <c r="F92" i="4"/>
  <c r="G89" i="4"/>
  <c r="H89" i="4"/>
  <c r="I89" i="4"/>
  <c r="J89" i="4"/>
  <c r="K89" i="4"/>
  <c r="L89" i="4"/>
  <c r="M89" i="4"/>
  <c r="N89" i="4"/>
  <c r="O89" i="4"/>
  <c r="P89" i="4"/>
  <c r="Q89" i="4"/>
  <c r="R89" i="4"/>
  <c r="S89" i="4"/>
  <c r="T89" i="4"/>
  <c r="U89" i="4"/>
  <c r="V89" i="4"/>
  <c r="W89" i="4"/>
  <c r="X89" i="4"/>
  <c r="AD466" i="12" s="1"/>
  <c r="Y89" i="4"/>
  <c r="AE466" i="12" s="1"/>
  <c r="G90" i="4"/>
  <c r="H90" i="4"/>
  <c r="I90" i="4"/>
  <c r="J90" i="4"/>
  <c r="K90" i="4"/>
  <c r="L90" i="4"/>
  <c r="M90" i="4"/>
  <c r="N90" i="4"/>
  <c r="O90" i="4"/>
  <c r="P90" i="4"/>
  <c r="Q90" i="4"/>
  <c r="R90" i="4"/>
  <c r="S90" i="4"/>
  <c r="T90" i="4"/>
  <c r="U90" i="4"/>
  <c r="V90" i="4"/>
  <c r="AB467" i="12" s="1"/>
  <c r="W90" i="4"/>
  <c r="X90" i="4"/>
  <c r="Y90" i="4"/>
  <c r="AE467" i="12" s="1"/>
  <c r="G91" i="4"/>
  <c r="H91" i="4"/>
  <c r="I91" i="4"/>
  <c r="J91" i="4"/>
  <c r="K91" i="4"/>
  <c r="L91" i="4"/>
  <c r="M91" i="4"/>
  <c r="N91" i="4"/>
  <c r="O91" i="4"/>
  <c r="P91" i="4"/>
  <c r="Q91" i="4"/>
  <c r="R91" i="4"/>
  <c r="S91" i="4"/>
  <c r="T91" i="4"/>
  <c r="U91" i="4"/>
  <c r="V91" i="4"/>
  <c r="W91" i="4"/>
  <c r="X91" i="4"/>
  <c r="Y91" i="4"/>
  <c r="AE468" i="12" s="1"/>
  <c r="F91" i="4"/>
  <c r="F90" i="4"/>
  <c r="F89" i="4"/>
  <c r="I80" i="4"/>
  <c r="J80" i="4"/>
  <c r="K80" i="4"/>
  <c r="L80" i="4"/>
  <c r="M80" i="4"/>
  <c r="N80" i="4"/>
  <c r="O80" i="4"/>
  <c r="P80" i="4"/>
  <c r="Q80" i="4"/>
  <c r="R80" i="4"/>
  <c r="S80" i="4"/>
  <c r="T80" i="4"/>
  <c r="U80" i="4"/>
  <c r="V80" i="4"/>
  <c r="AB474" i="12" s="1"/>
  <c r="W80" i="4"/>
  <c r="AC474" i="12" s="1"/>
  <c r="X80" i="4"/>
  <c r="Y80" i="4"/>
  <c r="AE474" i="12" s="1"/>
  <c r="H80" i="4"/>
  <c r="I83" i="4"/>
  <c r="J83" i="4"/>
  <c r="K83" i="4"/>
  <c r="L83" i="4"/>
  <c r="M83" i="4"/>
  <c r="N83" i="4"/>
  <c r="O83" i="4"/>
  <c r="P83" i="4"/>
  <c r="Q83" i="4"/>
  <c r="R83" i="4"/>
  <c r="S83" i="4"/>
  <c r="T83" i="4"/>
  <c r="U83" i="4"/>
  <c r="V83" i="4"/>
  <c r="W83" i="4"/>
  <c r="X83" i="4"/>
  <c r="AD485" i="12" s="1"/>
  <c r="Y83" i="4"/>
  <c r="AE485" i="12" s="1"/>
  <c r="H83" i="4"/>
  <c r="I84" i="4"/>
  <c r="J84" i="4"/>
  <c r="K84" i="4"/>
  <c r="L84" i="4"/>
  <c r="M84" i="4"/>
  <c r="N84" i="4"/>
  <c r="O84" i="4"/>
  <c r="P84" i="4"/>
  <c r="Q84" i="4"/>
  <c r="R84" i="4"/>
  <c r="S84" i="4"/>
  <c r="T84" i="4"/>
  <c r="U84" i="4"/>
  <c r="V84" i="4"/>
  <c r="W84" i="4"/>
  <c r="X84" i="4"/>
  <c r="Y84" i="4"/>
  <c r="AE486" i="12" s="1"/>
  <c r="H84" i="4"/>
  <c r="H81" i="4"/>
  <c r="I81" i="4"/>
  <c r="J81" i="4"/>
  <c r="K81" i="4"/>
  <c r="L81" i="4"/>
  <c r="M81" i="4"/>
  <c r="N81" i="4"/>
  <c r="O81" i="4"/>
  <c r="P81" i="4"/>
  <c r="Q81" i="4"/>
  <c r="R81" i="4"/>
  <c r="S81" i="4"/>
  <c r="T81" i="4"/>
  <c r="U81" i="4"/>
  <c r="V81" i="4"/>
  <c r="W81" i="4"/>
  <c r="AC475" i="12" s="1"/>
  <c r="X81" i="4"/>
  <c r="AD475" i="12" s="1"/>
  <c r="Y81" i="4"/>
  <c r="AE475" i="12" s="1"/>
  <c r="C79" i="4"/>
  <c r="D79" i="4"/>
  <c r="E79" i="4"/>
  <c r="F79" i="4"/>
  <c r="G79" i="4"/>
  <c r="H79" i="4"/>
  <c r="I79" i="4"/>
  <c r="J79" i="4"/>
  <c r="K79" i="4"/>
  <c r="L79" i="4"/>
  <c r="X79" i="4"/>
  <c r="Y79" i="4"/>
  <c r="B79" i="4"/>
  <c r="AC468" i="12" l="1"/>
  <c r="AB486" i="12"/>
  <c r="AC486" i="12"/>
  <c r="AB468" i="12"/>
  <c r="AB475" i="12"/>
  <c r="AC485" i="12"/>
  <c r="AC466" i="12"/>
  <c r="AC469" i="12"/>
  <c r="AC465" i="12"/>
  <c r="AD467" i="12"/>
  <c r="AD486" i="12"/>
  <c r="AB485" i="12"/>
  <c r="AD474" i="12"/>
  <c r="AD468" i="12"/>
  <c r="AC467" i="12"/>
  <c r="AB466" i="12"/>
  <c r="AB469" i="12"/>
  <c r="AB465" i="12"/>
  <c r="X97" i="4"/>
  <c r="T97" i="4"/>
  <c r="AA97" i="4"/>
  <c r="AG491" i="12" s="1"/>
  <c r="W97" i="4"/>
  <c r="S97" i="4"/>
  <c r="O97" i="4"/>
  <c r="K97" i="4"/>
  <c r="G97" i="4"/>
  <c r="F97" i="4"/>
  <c r="V97" i="4"/>
  <c r="AB491" i="12" s="1"/>
  <c r="Y97" i="4"/>
  <c r="AE491" i="12" s="1"/>
  <c r="U97" i="4"/>
  <c r="P97" i="4"/>
  <c r="L97" i="4"/>
  <c r="H97" i="4"/>
  <c r="N97" i="4"/>
  <c r="J97" i="4"/>
  <c r="Q97" i="4"/>
  <c r="M97" i="4"/>
  <c r="I97" i="4"/>
  <c r="Z97" i="4"/>
  <c r="AF491" i="12" s="1"/>
  <c r="R97" i="4"/>
  <c r="G82" i="6"/>
  <c r="H82" i="6"/>
  <c r="I82" i="6"/>
  <c r="J82" i="6"/>
  <c r="K82" i="6"/>
  <c r="L82" i="6"/>
  <c r="M82" i="6"/>
  <c r="N82" i="6"/>
  <c r="O82" i="6"/>
  <c r="P82" i="6"/>
  <c r="Q82" i="6"/>
  <c r="R82" i="6"/>
  <c r="S82" i="6"/>
  <c r="T82" i="6"/>
  <c r="U82" i="6"/>
  <c r="V82" i="6"/>
  <c r="AB146" i="12" s="1"/>
  <c r="W82" i="6"/>
  <c r="X82" i="6"/>
  <c r="AD146" i="12" s="1"/>
  <c r="Y82" i="6"/>
  <c r="F82" i="6"/>
  <c r="H51" i="6"/>
  <c r="H94" i="6" s="1"/>
  <c r="I51" i="6"/>
  <c r="I94" i="6" s="1"/>
  <c r="J51" i="6"/>
  <c r="J94" i="6" s="1"/>
  <c r="K51" i="6"/>
  <c r="K94" i="6" s="1"/>
  <c r="L51" i="6"/>
  <c r="L94" i="6" s="1"/>
  <c r="M51" i="6"/>
  <c r="M94" i="6" s="1"/>
  <c r="N51" i="6"/>
  <c r="N94" i="6" s="1"/>
  <c r="O51" i="6"/>
  <c r="O94" i="6" s="1"/>
  <c r="P51" i="6"/>
  <c r="P94" i="6" s="1"/>
  <c r="Q51" i="6"/>
  <c r="Q94" i="6" s="1"/>
  <c r="R51" i="6"/>
  <c r="R94" i="6" s="1"/>
  <c r="S51" i="6"/>
  <c r="S94" i="6" s="1"/>
  <c r="T51" i="6"/>
  <c r="T94" i="6" s="1"/>
  <c r="U51" i="6"/>
  <c r="U94" i="6" s="1"/>
  <c r="V51" i="6"/>
  <c r="Z57" i="6" s="1"/>
  <c r="W51" i="6"/>
  <c r="X51" i="6"/>
  <c r="Y51" i="6"/>
  <c r="B51" i="6"/>
  <c r="C51" i="6"/>
  <c r="D51" i="6"/>
  <c r="E51" i="6"/>
  <c r="F51" i="6"/>
  <c r="F94" i="6" s="1"/>
  <c r="G51" i="6"/>
  <c r="G94" i="6" s="1"/>
  <c r="AD491" i="12" l="1"/>
  <c r="AC491" i="12"/>
  <c r="AC146" i="12"/>
  <c r="Z103" i="6"/>
  <c r="AF153" i="12" s="1"/>
  <c r="AE146" i="12"/>
  <c r="G57" i="6"/>
  <c r="W103" i="6"/>
  <c r="S103" i="6"/>
  <c r="O103" i="6"/>
  <c r="K103" i="6"/>
  <c r="U103" i="6"/>
  <c r="Q103" i="6"/>
  <c r="M103" i="6"/>
  <c r="I103" i="6"/>
  <c r="T103" i="6"/>
  <c r="G103" i="6"/>
  <c r="V94" i="6"/>
  <c r="X94" i="6"/>
  <c r="V103" i="6"/>
  <c r="AB153" i="12" s="1"/>
  <c r="R103" i="6"/>
  <c r="N103" i="6"/>
  <c r="J103" i="6"/>
  <c r="X103" i="6"/>
  <c r="AD153" i="12" s="1"/>
  <c r="P103" i="6"/>
  <c r="L103" i="6"/>
  <c r="H103" i="6"/>
  <c r="W94" i="6"/>
  <c r="Z62" i="6"/>
  <c r="Y94" i="6"/>
  <c r="Y103" i="6"/>
  <c r="C102" i="6"/>
  <c r="D102" i="6"/>
  <c r="E102" i="6"/>
  <c r="F102" i="6"/>
  <c r="G102" i="6"/>
  <c r="H102" i="6"/>
  <c r="I102" i="6"/>
  <c r="J102" i="6"/>
  <c r="K102" i="6"/>
  <c r="L102" i="6"/>
  <c r="M102" i="6"/>
  <c r="N102" i="6"/>
  <c r="O102" i="6"/>
  <c r="P102" i="6"/>
  <c r="Q102" i="6"/>
  <c r="R102" i="6"/>
  <c r="S102" i="6"/>
  <c r="T102" i="6"/>
  <c r="U102" i="6"/>
  <c r="V102" i="6"/>
  <c r="W102" i="6"/>
  <c r="X102" i="6"/>
  <c r="AD152" i="12" s="1"/>
  <c r="Y102" i="6"/>
  <c r="AE152" i="12" s="1"/>
  <c r="Y86" i="6"/>
  <c r="AC152" i="12" l="1"/>
  <c r="AB152" i="12"/>
  <c r="AE153" i="12"/>
  <c r="AC153" i="12"/>
  <c r="Y99" i="6"/>
  <c r="T100" i="6"/>
  <c r="U100" i="6"/>
  <c r="V100" i="6"/>
  <c r="W100" i="6"/>
  <c r="X100" i="6"/>
  <c r="Y100" i="6"/>
  <c r="T99" i="6"/>
  <c r="U99" i="6"/>
  <c r="V99" i="6"/>
  <c r="W99" i="6"/>
  <c r="X99" i="6"/>
  <c r="Y81" i="6" l="1"/>
  <c r="F91" i="6"/>
  <c r="G91" i="6"/>
  <c r="H91" i="6"/>
  <c r="I91" i="6"/>
  <c r="J91" i="6"/>
  <c r="K91" i="6"/>
  <c r="L91" i="6"/>
  <c r="M91" i="6"/>
  <c r="N91" i="6"/>
  <c r="O91" i="6"/>
  <c r="P91" i="6"/>
  <c r="Q91" i="6"/>
  <c r="R91" i="6"/>
  <c r="S91" i="6"/>
  <c r="T91" i="6"/>
  <c r="U91" i="6"/>
  <c r="V91" i="6"/>
  <c r="W91" i="6"/>
  <c r="X91" i="6"/>
  <c r="Y91" i="6"/>
  <c r="J90" i="6"/>
  <c r="F90" i="6"/>
  <c r="G90" i="6"/>
  <c r="H90" i="6"/>
  <c r="I90" i="6"/>
  <c r="K90" i="6"/>
  <c r="L90" i="6"/>
  <c r="M90" i="6"/>
  <c r="N90" i="6"/>
  <c r="O90" i="6"/>
  <c r="P90" i="6"/>
  <c r="Q90" i="6"/>
  <c r="R90" i="6"/>
  <c r="S90" i="6"/>
  <c r="T90" i="6"/>
  <c r="U90" i="6"/>
  <c r="V90" i="6"/>
  <c r="W90" i="6"/>
  <c r="X90" i="6"/>
  <c r="Y90" i="6"/>
  <c r="Y39" i="7" l="1"/>
  <c r="Y40" i="7"/>
  <c r="Y27" i="7"/>
  <c r="Y28" i="7"/>
  <c r="Y69" i="6"/>
  <c r="Y40" i="8"/>
  <c r="Y41" i="8"/>
  <c r="Y42" i="8"/>
  <c r="Y43" i="8"/>
  <c r="Y44" i="8"/>
  <c r="Y45" i="8"/>
  <c r="Y47" i="8"/>
  <c r="Y48" i="8"/>
  <c r="Y103" i="11"/>
  <c r="Y108" i="11"/>
  <c r="Y109" i="11"/>
  <c r="Y110" i="11"/>
  <c r="Y111" i="11"/>
  <c r="Y113" i="11"/>
  <c r="Y121" i="11"/>
  <c r="Y123" i="11"/>
  <c r="Y124" i="11"/>
  <c r="Y126" i="11"/>
  <c r="Y127" i="11"/>
  <c r="Y131" i="11"/>
  <c r="Y133" i="11"/>
  <c r="Y134" i="11"/>
  <c r="Y59" i="9"/>
  <c r="AE23" i="12" s="1"/>
  <c r="Y60" i="9"/>
  <c r="AE29" i="12" s="1"/>
  <c r="Y63" i="9"/>
  <c r="AC71" i="9" s="1"/>
  <c r="Y64" i="9"/>
  <c r="AC72" i="9" s="1"/>
  <c r="Y65" i="9"/>
  <c r="AC73" i="9" s="1"/>
  <c r="Y66" i="9"/>
  <c r="AC74" i="9" s="1"/>
  <c r="Y67" i="9"/>
  <c r="AC75" i="9" s="1"/>
  <c r="Y68" i="9"/>
  <c r="AC76" i="9" s="1"/>
  <c r="Y81" i="9"/>
  <c r="Y83" i="9"/>
  <c r="Y84" i="9"/>
  <c r="Y86" i="9"/>
  <c r="AE92" i="12" s="1"/>
  <c r="Y87" i="9"/>
  <c r="Y37" i="7" l="1"/>
  <c r="Y115" i="11"/>
  <c r="Y118" i="11" s="1"/>
  <c r="T112" i="11"/>
  <c r="S113" i="11"/>
  <c r="S112" i="11"/>
  <c r="Q112" i="11"/>
  <c r="R112" i="11"/>
  <c r="P112" i="11"/>
  <c r="O112" i="11"/>
  <c r="K113" i="11"/>
  <c r="F110" i="11"/>
  <c r="G110" i="11"/>
  <c r="H110" i="11"/>
  <c r="I110" i="11"/>
  <c r="J110" i="11"/>
  <c r="K110" i="11"/>
  <c r="L110" i="11"/>
  <c r="M110" i="11"/>
  <c r="N110" i="11"/>
  <c r="O110" i="11"/>
  <c r="P110" i="11"/>
  <c r="Q110" i="11"/>
  <c r="R110" i="11"/>
  <c r="S110" i="11"/>
  <c r="T110" i="11"/>
  <c r="U110" i="11"/>
  <c r="V110" i="11"/>
  <c r="W110" i="11"/>
  <c r="X110" i="11"/>
  <c r="V113" i="11"/>
  <c r="F113" i="11" l="1"/>
  <c r="G113" i="11"/>
  <c r="H113" i="11"/>
  <c r="I113" i="11"/>
  <c r="J113" i="11"/>
  <c r="L113" i="11"/>
  <c r="M113" i="11"/>
  <c r="N113" i="11"/>
  <c r="O113" i="11"/>
  <c r="P113" i="11"/>
  <c r="Q113" i="11"/>
  <c r="R113" i="11"/>
  <c r="T113" i="11"/>
  <c r="U113" i="11"/>
  <c r="W113" i="11"/>
  <c r="X113" i="11"/>
  <c r="G111" i="11" l="1"/>
  <c r="H111" i="11"/>
  <c r="I111" i="11"/>
  <c r="J111" i="11"/>
  <c r="K111" i="11"/>
  <c r="L111" i="11"/>
  <c r="M111" i="11"/>
  <c r="N111" i="11"/>
  <c r="O111" i="11"/>
  <c r="P111" i="11"/>
  <c r="Q111" i="11"/>
  <c r="R111" i="11"/>
  <c r="S111" i="11"/>
  <c r="T111" i="11"/>
  <c r="U111" i="11"/>
  <c r="V111" i="11"/>
  <c r="W111" i="11"/>
  <c r="X111" i="11"/>
  <c r="F111" i="11"/>
  <c r="G109" i="11"/>
  <c r="H109" i="11"/>
  <c r="I109" i="11"/>
  <c r="J109" i="11"/>
  <c r="K109" i="11"/>
  <c r="L109" i="11"/>
  <c r="M109" i="11"/>
  <c r="N109" i="11"/>
  <c r="O109" i="11"/>
  <c r="P109" i="11"/>
  <c r="Q109" i="11"/>
  <c r="R109" i="11"/>
  <c r="S109" i="11"/>
  <c r="T109" i="11"/>
  <c r="U109" i="11"/>
  <c r="V109" i="11"/>
  <c r="W109" i="11"/>
  <c r="X109" i="11"/>
  <c r="F109" i="11"/>
  <c r="G108" i="11"/>
  <c r="H108" i="11"/>
  <c r="I108" i="11"/>
  <c r="J108" i="11"/>
  <c r="K108" i="11"/>
  <c r="L108" i="11"/>
  <c r="M108" i="11"/>
  <c r="N108" i="11"/>
  <c r="O108" i="11"/>
  <c r="P108" i="11"/>
  <c r="Q108" i="11"/>
  <c r="R108" i="11"/>
  <c r="S108" i="11"/>
  <c r="T108" i="11"/>
  <c r="U108" i="11"/>
  <c r="V108" i="11"/>
  <c r="W108" i="11"/>
  <c r="X108" i="11"/>
  <c r="F108" i="11"/>
  <c r="F121" i="11"/>
  <c r="G121" i="11"/>
  <c r="H121" i="11"/>
  <c r="I121" i="11"/>
  <c r="J121" i="11"/>
  <c r="K121" i="11"/>
  <c r="L121" i="11"/>
  <c r="M121" i="11"/>
  <c r="N121" i="11"/>
  <c r="O121" i="11"/>
  <c r="P121" i="11"/>
  <c r="Q121" i="11"/>
  <c r="R121" i="11"/>
  <c r="S121" i="11"/>
  <c r="T121" i="11"/>
  <c r="U121" i="11"/>
  <c r="V121" i="11"/>
  <c r="W121" i="11"/>
  <c r="X121" i="11"/>
  <c r="E121" i="11"/>
  <c r="Y48" i="6"/>
  <c r="AE106" i="12" s="1"/>
  <c r="Y49" i="6"/>
  <c r="AE126" i="12" s="1"/>
  <c r="Y52" i="6"/>
  <c r="Y96" i="6" s="1"/>
  <c r="Y53" i="6"/>
  <c r="Y54" i="6"/>
  <c r="Y97" i="6" s="1"/>
  <c r="G76" i="6"/>
  <c r="R87" i="5"/>
  <c r="K95" i="5"/>
  <c r="Y51" i="5"/>
  <c r="Y86" i="5" s="1"/>
  <c r="X51" i="5"/>
  <c r="X76" i="5" s="1"/>
  <c r="W51" i="5"/>
  <c r="W86" i="5" s="1"/>
  <c r="V51" i="5"/>
  <c r="V86" i="5" s="1"/>
  <c r="U51" i="5"/>
  <c r="U86" i="5" s="1"/>
  <c r="T51" i="5"/>
  <c r="T76" i="5" s="1"/>
  <c r="S51" i="5"/>
  <c r="S76" i="5" s="1"/>
  <c r="R51" i="5"/>
  <c r="R86" i="5" s="1"/>
  <c r="Q51" i="5"/>
  <c r="Q86" i="5" s="1"/>
  <c r="P51" i="5"/>
  <c r="P76" i="5" s="1"/>
  <c r="O51" i="5"/>
  <c r="O76" i="5" s="1"/>
  <c r="N51" i="5"/>
  <c r="N86" i="5" s="1"/>
  <c r="M51" i="5"/>
  <c r="M86" i="5" s="1"/>
  <c r="L51" i="5"/>
  <c r="L76" i="5" s="1"/>
  <c r="K51" i="5"/>
  <c r="K76" i="5" s="1"/>
  <c r="J51" i="5"/>
  <c r="J86" i="5" s="1"/>
  <c r="I51" i="5"/>
  <c r="I86" i="5" s="1"/>
  <c r="H51" i="5"/>
  <c r="H76" i="5" s="1"/>
  <c r="G51" i="5"/>
  <c r="G86" i="5" s="1"/>
  <c r="F51" i="5"/>
  <c r="F86" i="5" s="1"/>
  <c r="E51" i="5"/>
  <c r="E86" i="5" s="1"/>
  <c r="D51" i="5"/>
  <c r="D76" i="5" s="1"/>
  <c r="C51" i="5"/>
  <c r="C76" i="5" s="1"/>
  <c r="B51" i="5"/>
  <c r="B86" i="5" s="1"/>
  <c r="Y69" i="4"/>
  <c r="X69" i="4"/>
  <c r="W69" i="4"/>
  <c r="V69" i="4"/>
  <c r="U69" i="4"/>
  <c r="T69" i="4"/>
  <c r="S69" i="4"/>
  <c r="R69" i="4"/>
  <c r="Q69" i="4"/>
  <c r="P69" i="4"/>
  <c r="O69" i="4"/>
  <c r="N69" i="4"/>
  <c r="M69" i="4"/>
  <c r="L69" i="4"/>
  <c r="K69" i="4"/>
  <c r="J69" i="4"/>
  <c r="I69" i="4"/>
  <c r="H69" i="4"/>
  <c r="G69" i="4"/>
  <c r="F69" i="4"/>
  <c r="E69" i="4"/>
  <c r="D69" i="4"/>
  <c r="C69" i="4"/>
  <c r="B69" i="4"/>
  <c r="C54" i="4"/>
  <c r="D54" i="4"/>
  <c r="E54" i="4"/>
  <c r="F54" i="4"/>
  <c r="G54" i="4"/>
  <c r="H54" i="4"/>
  <c r="I54" i="4"/>
  <c r="J54" i="4"/>
  <c r="K54" i="4"/>
  <c r="L54" i="4"/>
  <c r="M54" i="4"/>
  <c r="N54" i="4"/>
  <c r="O54" i="4"/>
  <c r="P54" i="4"/>
  <c r="Q54" i="4"/>
  <c r="R54" i="4"/>
  <c r="S54" i="4"/>
  <c r="T54" i="4"/>
  <c r="U54" i="4"/>
  <c r="V54" i="4"/>
  <c r="W54" i="4"/>
  <c r="X54" i="4"/>
  <c r="Y54" i="4"/>
  <c r="B54" i="4"/>
  <c r="Y41" i="4"/>
  <c r="X41" i="4"/>
  <c r="W41" i="4"/>
  <c r="V41" i="4"/>
  <c r="U41" i="4"/>
  <c r="T41" i="4"/>
  <c r="S41" i="4"/>
  <c r="R41" i="4"/>
  <c r="Q41" i="4"/>
  <c r="P41" i="4"/>
  <c r="O41" i="4"/>
  <c r="N41" i="4"/>
  <c r="M41" i="4"/>
  <c r="L41" i="4"/>
  <c r="K41" i="4"/>
  <c r="J41" i="4"/>
  <c r="I41" i="4"/>
  <c r="H41" i="4"/>
  <c r="G41" i="4"/>
  <c r="F41" i="4"/>
  <c r="E41" i="4"/>
  <c r="D41" i="4"/>
  <c r="C41" i="4"/>
  <c r="B41" i="4"/>
  <c r="O51" i="4"/>
  <c r="P51" i="4"/>
  <c r="Q51" i="4"/>
  <c r="R51" i="4"/>
  <c r="S51" i="4"/>
  <c r="T51" i="4"/>
  <c r="U51" i="4"/>
  <c r="V51" i="4"/>
  <c r="W51" i="4"/>
  <c r="X51" i="4"/>
  <c r="Y51" i="4"/>
  <c r="O52" i="4"/>
  <c r="P52" i="4"/>
  <c r="Q52" i="4"/>
  <c r="R52" i="4"/>
  <c r="S52" i="4"/>
  <c r="T52" i="4"/>
  <c r="U52" i="4"/>
  <c r="V52" i="4"/>
  <c r="W52" i="4"/>
  <c r="X52" i="4"/>
  <c r="Y52" i="4"/>
  <c r="N52" i="4"/>
  <c r="K51" i="4"/>
  <c r="L51" i="4"/>
  <c r="M51" i="4"/>
  <c r="N51" i="4"/>
  <c r="J51" i="4"/>
  <c r="K49" i="4"/>
  <c r="L49" i="4"/>
  <c r="M49" i="4"/>
  <c r="N49" i="4"/>
  <c r="O49" i="4"/>
  <c r="P49" i="4"/>
  <c r="Q49" i="4"/>
  <c r="R49" i="4"/>
  <c r="S49" i="4"/>
  <c r="T49" i="4"/>
  <c r="U49" i="4"/>
  <c r="V49" i="4"/>
  <c r="W49" i="4"/>
  <c r="X49" i="4"/>
  <c r="Y49" i="4"/>
  <c r="J49" i="4"/>
  <c r="Y51" i="7"/>
  <c r="AE348" i="12" s="1"/>
  <c r="S51" i="7"/>
  <c r="S52" i="7" s="1"/>
  <c r="T51" i="7"/>
  <c r="T52" i="7" s="1"/>
  <c r="U51" i="7"/>
  <c r="U52" i="7" s="1"/>
  <c r="V51" i="7"/>
  <c r="W51" i="7"/>
  <c r="X51" i="7"/>
  <c r="R51" i="7"/>
  <c r="R52" i="7" s="1"/>
  <c r="Y43" i="7"/>
  <c r="X43" i="7"/>
  <c r="X84" i="7" s="1"/>
  <c r="W43" i="7"/>
  <c r="W84" i="7" s="1"/>
  <c r="V43" i="7"/>
  <c r="U43" i="7"/>
  <c r="T43" i="7"/>
  <c r="T84" i="7" s="1"/>
  <c r="S43" i="7"/>
  <c r="S84" i="7" s="1"/>
  <c r="R43" i="7"/>
  <c r="R84" i="7" s="1"/>
  <c r="Q43" i="7"/>
  <c r="P43" i="7"/>
  <c r="P84" i="7" s="1"/>
  <c r="O43" i="7"/>
  <c r="O84" i="7" s="1"/>
  <c r="N43" i="7"/>
  <c r="M43" i="7"/>
  <c r="L43" i="7"/>
  <c r="L84" i="7" s="1"/>
  <c r="K43" i="7"/>
  <c r="K84" i="7" s="1"/>
  <c r="J43" i="7"/>
  <c r="J84" i="7" s="1"/>
  <c r="I43" i="7"/>
  <c r="H43" i="7"/>
  <c r="H84" i="7" s="1"/>
  <c r="G43" i="7"/>
  <c r="G84" i="7" s="1"/>
  <c r="F43" i="7"/>
  <c r="E43" i="7"/>
  <c r="D43" i="7"/>
  <c r="D84" i="7" s="1"/>
  <c r="C43" i="7"/>
  <c r="C84" i="7" s="1"/>
  <c r="B43" i="7"/>
  <c r="B84" i="7" s="1"/>
  <c r="Y116" i="3"/>
  <c r="X116" i="3"/>
  <c r="W116" i="3"/>
  <c r="V116" i="3"/>
  <c r="U116" i="3"/>
  <c r="T116" i="3"/>
  <c r="S116" i="3"/>
  <c r="R116" i="3"/>
  <c r="Q116" i="3"/>
  <c r="P116" i="3"/>
  <c r="O116" i="3"/>
  <c r="N116" i="3"/>
  <c r="M116" i="3"/>
  <c r="L116" i="3"/>
  <c r="K116" i="3"/>
  <c r="J116" i="3"/>
  <c r="I116" i="3"/>
  <c r="H116" i="3"/>
  <c r="G116" i="3"/>
  <c r="F116" i="3"/>
  <c r="E116" i="3"/>
  <c r="D116" i="3"/>
  <c r="C116" i="3"/>
  <c r="B116" i="3"/>
  <c r="Y102" i="3"/>
  <c r="X102" i="3"/>
  <c r="W102" i="3"/>
  <c r="V102" i="3"/>
  <c r="U102" i="3"/>
  <c r="T102" i="3"/>
  <c r="S102" i="3"/>
  <c r="R102" i="3"/>
  <c r="Q102" i="3"/>
  <c r="P102" i="3"/>
  <c r="O102" i="3"/>
  <c r="N102" i="3"/>
  <c r="M102" i="3"/>
  <c r="L102" i="3"/>
  <c r="K102" i="3"/>
  <c r="J102" i="3"/>
  <c r="I102" i="3"/>
  <c r="H102" i="3"/>
  <c r="G102" i="3"/>
  <c r="F102" i="3"/>
  <c r="E102" i="3"/>
  <c r="D102" i="3"/>
  <c r="C102" i="3"/>
  <c r="B102" i="3"/>
  <c r="J100" i="3"/>
  <c r="K100" i="3"/>
  <c r="L100" i="3"/>
  <c r="M100" i="3"/>
  <c r="N100" i="3"/>
  <c r="O100" i="3"/>
  <c r="P100" i="3"/>
  <c r="Q100" i="3"/>
  <c r="R100" i="3"/>
  <c r="S100" i="3"/>
  <c r="T100" i="3"/>
  <c r="U100" i="3"/>
  <c r="V100" i="3"/>
  <c r="W100" i="3"/>
  <c r="X100" i="3"/>
  <c r="Y100" i="3"/>
  <c r="I100" i="3"/>
  <c r="F98" i="3"/>
  <c r="G98" i="3"/>
  <c r="H98" i="3"/>
  <c r="I98" i="3"/>
  <c r="J98" i="3"/>
  <c r="K98" i="3"/>
  <c r="L98" i="3"/>
  <c r="M98" i="3"/>
  <c r="N98" i="3"/>
  <c r="O98" i="3"/>
  <c r="P98" i="3"/>
  <c r="Q98" i="3"/>
  <c r="R98" i="3"/>
  <c r="S98" i="3"/>
  <c r="T98" i="3"/>
  <c r="U98" i="3"/>
  <c r="V98" i="3"/>
  <c r="W98" i="3"/>
  <c r="X98" i="3"/>
  <c r="Y98" i="3"/>
  <c r="E98" i="3"/>
  <c r="C97" i="3"/>
  <c r="D97" i="3"/>
  <c r="E97" i="3"/>
  <c r="F97" i="3"/>
  <c r="G97" i="3"/>
  <c r="H97" i="3"/>
  <c r="I97" i="3"/>
  <c r="J97" i="3"/>
  <c r="K97" i="3"/>
  <c r="L97" i="3"/>
  <c r="M97" i="3"/>
  <c r="N97" i="3"/>
  <c r="O97" i="3"/>
  <c r="P97" i="3"/>
  <c r="Q97" i="3"/>
  <c r="R97" i="3"/>
  <c r="S97" i="3"/>
  <c r="T97" i="3"/>
  <c r="U97" i="3"/>
  <c r="V97" i="3"/>
  <c r="W97" i="3"/>
  <c r="AC389" i="12" s="1"/>
  <c r="X97" i="3"/>
  <c r="Y97" i="3"/>
  <c r="AE389" i="12" s="1"/>
  <c r="B97" i="3"/>
  <c r="F104" i="3"/>
  <c r="G104" i="3"/>
  <c r="H104" i="3"/>
  <c r="I104" i="3"/>
  <c r="J104" i="3"/>
  <c r="K104" i="3"/>
  <c r="L104" i="3"/>
  <c r="M104" i="3"/>
  <c r="N104" i="3"/>
  <c r="O104" i="3"/>
  <c r="P104" i="3"/>
  <c r="Q104" i="3"/>
  <c r="R104" i="3"/>
  <c r="S104" i="3"/>
  <c r="T104" i="3"/>
  <c r="U104" i="3"/>
  <c r="V104" i="3"/>
  <c r="W104" i="3"/>
  <c r="X104" i="3"/>
  <c r="Y104" i="3"/>
  <c r="Y89" i="3"/>
  <c r="X89" i="3"/>
  <c r="W89" i="3"/>
  <c r="V89" i="3"/>
  <c r="U89" i="3"/>
  <c r="T89" i="3"/>
  <c r="S89" i="3"/>
  <c r="R89" i="3"/>
  <c r="Q89" i="3"/>
  <c r="P89" i="3"/>
  <c r="O89" i="3"/>
  <c r="N89" i="3"/>
  <c r="M89" i="3"/>
  <c r="L89" i="3"/>
  <c r="K89" i="3"/>
  <c r="J89" i="3"/>
  <c r="I89" i="3"/>
  <c r="H89" i="3"/>
  <c r="G89" i="3"/>
  <c r="F89" i="3"/>
  <c r="E89" i="3"/>
  <c r="D89" i="3"/>
  <c r="C89" i="3"/>
  <c r="B89" i="3"/>
  <c r="C76" i="3"/>
  <c r="D76" i="3"/>
  <c r="E76" i="3"/>
  <c r="F76" i="3"/>
  <c r="G76" i="3"/>
  <c r="H76" i="3"/>
  <c r="I76" i="3"/>
  <c r="J76" i="3"/>
  <c r="K76" i="3"/>
  <c r="L76" i="3"/>
  <c r="M76" i="3"/>
  <c r="N76" i="3"/>
  <c r="O76" i="3"/>
  <c r="P76" i="3"/>
  <c r="Q76" i="3"/>
  <c r="R76" i="3"/>
  <c r="S76" i="3"/>
  <c r="T76" i="3"/>
  <c r="U76" i="3"/>
  <c r="V76" i="3"/>
  <c r="W76" i="3"/>
  <c r="X76" i="3"/>
  <c r="Y76" i="3"/>
  <c r="B76" i="3"/>
  <c r="J84" i="3"/>
  <c r="K84" i="3"/>
  <c r="L84" i="3"/>
  <c r="M84" i="3"/>
  <c r="N84" i="3"/>
  <c r="O84" i="3"/>
  <c r="P84" i="3"/>
  <c r="Q84" i="3"/>
  <c r="R84" i="3"/>
  <c r="S84" i="3"/>
  <c r="T84" i="3"/>
  <c r="U84" i="3"/>
  <c r="V84" i="3"/>
  <c r="W84" i="3"/>
  <c r="X84" i="3"/>
  <c r="AD388" i="12" s="1"/>
  <c r="Y84" i="3"/>
  <c r="AE388" i="12" s="1"/>
  <c r="J85" i="3"/>
  <c r="K85" i="3"/>
  <c r="L85" i="3"/>
  <c r="M85" i="3"/>
  <c r="N85" i="3"/>
  <c r="O85" i="3"/>
  <c r="P85" i="3"/>
  <c r="Q85" i="3"/>
  <c r="R85" i="3"/>
  <c r="S85" i="3"/>
  <c r="T85" i="3"/>
  <c r="U85" i="3"/>
  <c r="V85" i="3"/>
  <c r="W85" i="3"/>
  <c r="X85" i="3"/>
  <c r="Y85" i="3"/>
  <c r="J87" i="3"/>
  <c r="K87" i="3"/>
  <c r="L87" i="3"/>
  <c r="M87" i="3"/>
  <c r="N87" i="3"/>
  <c r="O87" i="3"/>
  <c r="P87" i="3"/>
  <c r="Q87" i="3"/>
  <c r="R87" i="3"/>
  <c r="S87" i="3"/>
  <c r="T87" i="3"/>
  <c r="U87" i="3"/>
  <c r="V87" i="3"/>
  <c r="W87" i="3"/>
  <c r="X87" i="3"/>
  <c r="Y87" i="3"/>
  <c r="I87" i="3"/>
  <c r="C84" i="3"/>
  <c r="D84" i="3"/>
  <c r="E84" i="3"/>
  <c r="F84" i="3"/>
  <c r="G84" i="3"/>
  <c r="H84" i="3"/>
  <c r="I84" i="3"/>
  <c r="E85" i="3"/>
  <c r="F85" i="3"/>
  <c r="G85" i="3"/>
  <c r="H85" i="3"/>
  <c r="I85" i="3"/>
  <c r="B84" i="3"/>
  <c r="J73" i="3"/>
  <c r="K73" i="3"/>
  <c r="L73" i="3"/>
  <c r="M73" i="3"/>
  <c r="N73" i="3"/>
  <c r="O73" i="3"/>
  <c r="P73" i="3"/>
  <c r="Q73" i="3"/>
  <c r="R73" i="3"/>
  <c r="S73" i="3"/>
  <c r="T73" i="3"/>
  <c r="U73" i="3"/>
  <c r="V73" i="3"/>
  <c r="W73" i="3"/>
  <c r="X73" i="3"/>
  <c r="Y73" i="3"/>
  <c r="I73" i="3"/>
  <c r="Y71" i="3"/>
  <c r="E71" i="3"/>
  <c r="F71" i="3"/>
  <c r="G71" i="3"/>
  <c r="H71" i="3"/>
  <c r="I71" i="3"/>
  <c r="J71" i="3"/>
  <c r="K71" i="3"/>
  <c r="L71" i="3"/>
  <c r="M71" i="3"/>
  <c r="N71" i="3"/>
  <c r="O71" i="3"/>
  <c r="P71" i="3"/>
  <c r="Q71" i="3"/>
  <c r="R71" i="3"/>
  <c r="S71" i="3"/>
  <c r="T71" i="3"/>
  <c r="U71" i="3"/>
  <c r="V71" i="3"/>
  <c r="W71" i="3"/>
  <c r="X71" i="3"/>
  <c r="C70" i="3"/>
  <c r="D70" i="3"/>
  <c r="E70" i="3"/>
  <c r="F70" i="3"/>
  <c r="G70" i="3"/>
  <c r="H70" i="3"/>
  <c r="I70" i="3"/>
  <c r="J70" i="3"/>
  <c r="K70" i="3"/>
  <c r="L70" i="3"/>
  <c r="M70" i="3"/>
  <c r="N70" i="3"/>
  <c r="O70" i="3"/>
  <c r="P70" i="3"/>
  <c r="Q70" i="3"/>
  <c r="R70" i="3"/>
  <c r="S70" i="3"/>
  <c r="T70" i="3"/>
  <c r="U70" i="3"/>
  <c r="V70" i="3"/>
  <c r="W70" i="3"/>
  <c r="AC387" i="12" s="1"/>
  <c r="X70" i="3"/>
  <c r="Y70" i="3"/>
  <c r="AE387" i="12" s="1"/>
  <c r="B70" i="3"/>
  <c r="Y61" i="3"/>
  <c r="X61" i="3"/>
  <c r="W61" i="3"/>
  <c r="V61" i="3"/>
  <c r="U61" i="3"/>
  <c r="T61" i="3"/>
  <c r="S61" i="3"/>
  <c r="R61" i="3"/>
  <c r="Q61" i="3"/>
  <c r="P61" i="3"/>
  <c r="O61" i="3"/>
  <c r="N61" i="3"/>
  <c r="M61" i="3"/>
  <c r="L61" i="3"/>
  <c r="K61" i="3"/>
  <c r="J61" i="3"/>
  <c r="I61" i="3"/>
  <c r="H61" i="3"/>
  <c r="G61" i="3"/>
  <c r="F61" i="3"/>
  <c r="E61" i="3"/>
  <c r="D61" i="3"/>
  <c r="C61" i="3"/>
  <c r="B61" i="3"/>
  <c r="AB388" i="12" l="1"/>
  <c r="AD348" i="12"/>
  <c r="AB348" i="12"/>
  <c r="AB387" i="12"/>
  <c r="AB389" i="12"/>
  <c r="AC348" i="12"/>
  <c r="AD387" i="12"/>
  <c r="AC388" i="12"/>
  <c r="AD389" i="12"/>
  <c r="Y54" i="7"/>
  <c r="AC60" i="7" s="1"/>
  <c r="AC57" i="7"/>
  <c r="X52" i="7"/>
  <c r="AB57" i="7"/>
  <c r="E79" i="7"/>
  <c r="E84" i="7"/>
  <c r="I79" i="7"/>
  <c r="I84" i="7"/>
  <c r="M79" i="7"/>
  <c r="M84" i="7"/>
  <c r="Q79" i="7"/>
  <c r="Q84" i="7"/>
  <c r="U79" i="7"/>
  <c r="U84" i="7"/>
  <c r="Y79" i="7"/>
  <c r="Y84" i="7"/>
  <c r="F63" i="7"/>
  <c r="F84" i="7"/>
  <c r="N63" i="7"/>
  <c r="N84" i="7"/>
  <c r="V63" i="7"/>
  <c r="V84" i="7"/>
  <c r="W52" i="7"/>
  <c r="AA57" i="7"/>
  <c r="C86" i="5"/>
  <c r="V52" i="7"/>
  <c r="Z57" i="7"/>
  <c r="S86" i="5"/>
  <c r="Z63" i="6"/>
  <c r="Y95" i="6"/>
  <c r="R76" i="5"/>
  <c r="W76" i="5"/>
  <c r="G76" i="5"/>
  <c r="B76" i="5"/>
  <c r="K86" i="5"/>
  <c r="V76" i="5"/>
  <c r="N76" i="5"/>
  <c r="F76" i="5"/>
  <c r="J76" i="5"/>
  <c r="O86" i="5"/>
  <c r="Q68" i="7"/>
  <c r="D63" i="7"/>
  <c r="D79" i="7"/>
  <c r="P68" i="7"/>
  <c r="P79" i="7"/>
  <c r="X63" i="7"/>
  <c r="X79" i="7"/>
  <c r="B63" i="7"/>
  <c r="B79" i="7"/>
  <c r="F68" i="7"/>
  <c r="F79" i="7"/>
  <c r="J68" i="7"/>
  <c r="J79" i="7"/>
  <c r="N68" i="7"/>
  <c r="N79" i="7"/>
  <c r="R68" i="7"/>
  <c r="R79" i="7"/>
  <c r="V68" i="7"/>
  <c r="V79" i="7"/>
  <c r="B68" i="7"/>
  <c r="R63" i="7"/>
  <c r="J63" i="7"/>
  <c r="Y68" i="7"/>
  <c r="I68" i="7"/>
  <c r="H63" i="7"/>
  <c r="H79" i="7"/>
  <c r="C63" i="7"/>
  <c r="C79" i="7"/>
  <c r="G63" i="7"/>
  <c r="G79" i="7"/>
  <c r="K63" i="7"/>
  <c r="K79" i="7"/>
  <c r="O63" i="7"/>
  <c r="O79" i="7"/>
  <c r="S63" i="7"/>
  <c r="S79" i="7"/>
  <c r="W63" i="7"/>
  <c r="W79" i="7"/>
  <c r="Y63" i="7"/>
  <c r="Q63" i="7"/>
  <c r="I63" i="7"/>
  <c r="U68" i="7"/>
  <c r="E68" i="7"/>
  <c r="L63" i="7"/>
  <c r="L79" i="7"/>
  <c r="T63" i="7"/>
  <c r="T79" i="7"/>
  <c r="U63" i="7"/>
  <c r="M63" i="7"/>
  <c r="E63" i="7"/>
  <c r="M68" i="7"/>
  <c r="X86" i="5"/>
  <c r="T86" i="5"/>
  <c r="L86" i="5"/>
  <c r="H86" i="5"/>
  <c r="X68" i="7"/>
  <c r="T68" i="7"/>
  <c r="L68" i="7"/>
  <c r="H68" i="7"/>
  <c r="D68" i="7"/>
  <c r="X115" i="11"/>
  <c r="X118" i="11" s="1"/>
  <c r="P63" i="7"/>
  <c r="W68" i="7"/>
  <c r="S68" i="7"/>
  <c r="O68" i="7"/>
  <c r="K68" i="7"/>
  <c r="G68" i="7"/>
  <c r="C68" i="7"/>
  <c r="Y76" i="5"/>
  <c r="U76" i="5"/>
  <c r="Q76" i="5"/>
  <c r="M76" i="5"/>
  <c r="I76" i="5"/>
  <c r="E76" i="5"/>
  <c r="P86" i="5"/>
  <c r="D86" i="5"/>
  <c r="Y52" i="7"/>
  <c r="AE349" i="12" s="1"/>
  <c r="U115" i="11"/>
  <c r="U118" i="11" s="1"/>
  <c r="W115" i="11"/>
  <c r="W118" i="11" s="1"/>
  <c r="V115" i="11"/>
  <c r="V118" i="11" s="1"/>
  <c r="I47" i="8"/>
  <c r="J47" i="8"/>
  <c r="K47" i="8"/>
  <c r="L47" i="8"/>
  <c r="M47" i="8"/>
  <c r="N47" i="8"/>
  <c r="O47" i="8"/>
  <c r="P47" i="8"/>
  <c r="Q47" i="8"/>
  <c r="R47" i="8"/>
  <c r="S47" i="8"/>
  <c r="T47" i="8"/>
  <c r="U47" i="8"/>
  <c r="V47" i="8"/>
  <c r="W47" i="8"/>
  <c r="I48" i="8"/>
  <c r="J48" i="8"/>
  <c r="K48" i="8"/>
  <c r="L48" i="8"/>
  <c r="M48" i="8"/>
  <c r="N48" i="8"/>
  <c r="O48" i="8"/>
  <c r="P48" i="8"/>
  <c r="Q48" i="8"/>
  <c r="R48" i="8"/>
  <c r="S48" i="8"/>
  <c r="T48" i="8"/>
  <c r="U48" i="8"/>
  <c r="V48" i="8"/>
  <c r="W48" i="8"/>
  <c r="X48" i="8"/>
  <c r="X47" i="8"/>
  <c r="K64" i="1"/>
  <c r="L64" i="1"/>
  <c r="M64" i="1"/>
  <c r="N64" i="1"/>
  <c r="O64" i="1"/>
  <c r="P64" i="1"/>
  <c r="Q64" i="1"/>
  <c r="R64" i="1"/>
  <c r="S64" i="1"/>
  <c r="T64" i="1"/>
  <c r="U64" i="1"/>
  <c r="V64" i="1"/>
  <c r="W64" i="1"/>
  <c r="X64" i="1"/>
  <c r="Y64" i="1"/>
  <c r="J64" i="1"/>
  <c r="F134" i="11"/>
  <c r="G134" i="11"/>
  <c r="H134" i="11"/>
  <c r="I134" i="11"/>
  <c r="J134" i="11"/>
  <c r="K134" i="11"/>
  <c r="L134" i="11"/>
  <c r="M134" i="11"/>
  <c r="N134" i="11"/>
  <c r="O134" i="11"/>
  <c r="P134" i="11"/>
  <c r="Q134" i="11"/>
  <c r="R134" i="11"/>
  <c r="S134" i="11"/>
  <c r="T134" i="11"/>
  <c r="U134" i="11"/>
  <c r="V134" i="11"/>
  <c r="W134" i="11"/>
  <c r="X134" i="11"/>
  <c r="X131" i="11"/>
  <c r="K129" i="11"/>
  <c r="O129" i="11"/>
  <c r="S129" i="11"/>
  <c r="W129" i="11"/>
  <c r="I127" i="11"/>
  <c r="J127" i="11"/>
  <c r="K127" i="11"/>
  <c r="L127" i="11"/>
  <c r="M127" i="11"/>
  <c r="N127" i="11"/>
  <c r="O127" i="11"/>
  <c r="P127" i="11"/>
  <c r="Q127" i="11"/>
  <c r="R127" i="11"/>
  <c r="S127" i="11"/>
  <c r="T127" i="11"/>
  <c r="U127" i="11"/>
  <c r="V127" i="11"/>
  <c r="W127" i="11"/>
  <c r="X127" i="11"/>
  <c r="I126" i="11"/>
  <c r="J126" i="11"/>
  <c r="K126" i="11"/>
  <c r="L126" i="11"/>
  <c r="M126" i="11"/>
  <c r="N126" i="11"/>
  <c r="O126" i="11"/>
  <c r="P126" i="11"/>
  <c r="Q126" i="11"/>
  <c r="R126" i="11"/>
  <c r="S126" i="11"/>
  <c r="T126" i="11"/>
  <c r="U126" i="11"/>
  <c r="V126" i="11"/>
  <c r="W126" i="11"/>
  <c r="X126" i="11"/>
  <c r="T124" i="11"/>
  <c r="U124" i="11"/>
  <c r="V124" i="11"/>
  <c r="W124" i="11"/>
  <c r="X124" i="11"/>
  <c r="T123" i="11"/>
  <c r="U123" i="11"/>
  <c r="V123" i="11"/>
  <c r="W123" i="11"/>
  <c r="X123" i="11"/>
  <c r="F103" i="11"/>
  <c r="G103" i="11"/>
  <c r="H103" i="11"/>
  <c r="I103" i="11"/>
  <c r="J103" i="11"/>
  <c r="K103" i="11"/>
  <c r="L103" i="11"/>
  <c r="M103" i="11"/>
  <c r="N103" i="11"/>
  <c r="O103" i="11"/>
  <c r="P103" i="11"/>
  <c r="Q103" i="11"/>
  <c r="R103" i="11"/>
  <c r="S103" i="11"/>
  <c r="T103" i="11"/>
  <c r="U103" i="11"/>
  <c r="V103" i="11"/>
  <c r="W103" i="11"/>
  <c r="X103" i="11"/>
  <c r="E103" i="11"/>
  <c r="E87" i="9"/>
  <c r="F87" i="9"/>
  <c r="G87" i="9"/>
  <c r="H87" i="9"/>
  <c r="I87" i="9"/>
  <c r="J87" i="9"/>
  <c r="K87" i="9"/>
  <c r="L87" i="9"/>
  <c r="M87" i="9"/>
  <c r="N87" i="9"/>
  <c r="O87" i="9"/>
  <c r="P87" i="9"/>
  <c r="Q87" i="9"/>
  <c r="R87" i="9"/>
  <c r="S87" i="9"/>
  <c r="T87" i="9"/>
  <c r="U87" i="9"/>
  <c r="V87" i="9"/>
  <c r="W87" i="9"/>
  <c r="X87" i="9"/>
  <c r="J86" i="9"/>
  <c r="K86" i="9"/>
  <c r="L86" i="9"/>
  <c r="M86" i="9"/>
  <c r="N86" i="9"/>
  <c r="O86" i="9"/>
  <c r="P86" i="9"/>
  <c r="Q86" i="9"/>
  <c r="R86" i="9"/>
  <c r="S86" i="9"/>
  <c r="T86" i="9"/>
  <c r="U86" i="9"/>
  <c r="V86" i="9"/>
  <c r="AB92" i="12" s="1"/>
  <c r="W86" i="9"/>
  <c r="AC92" i="12" s="1"/>
  <c r="X86" i="9"/>
  <c r="AD92" i="12" s="1"/>
  <c r="I86" i="9"/>
  <c r="E84" i="9"/>
  <c r="F84" i="9"/>
  <c r="G84" i="9"/>
  <c r="H84" i="9"/>
  <c r="I84" i="9"/>
  <c r="J84" i="9"/>
  <c r="K84" i="9"/>
  <c r="L84" i="9"/>
  <c r="M84" i="9"/>
  <c r="N84" i="9"/>
  <c r="O84" i="9"/>
  <c r="P84" i="9"/>
  <c r="Q84" i="9"/>
  <c r="R84" i="9"/>
  <c r="S84" i="9"/>
  <c r="T84" i="9"/>
  <c r="U84" i="9"/>
  <c r="V84" i="9"/>
  <c r="W84" i="9"/>
  <c r="X84" i="9"/>
  <c r="F83" i="9"/>
  <c r="G83" i="9"/>
  <c r="H83" i="9"/>
  <c r="I83" i="9"/>
  <c r="J83" i="9"/>
  <c r="K83" i="9"/>
  <c r="L83" i="9"/>
  <c r="M83" i="9"/>
  <c r="N83" i="9"/>
  <c r="O83" i="9"/>
  <c r="P83" i="9"/>
  <c r="Q83" i="9"/>
  <c r="R83" i="9"/>
  <c r="S83" i="9"/>
  <c r="T83" i="9"/>
  <c r="U83" i="9"/>
  <c r="V83" i="9"/>
  <c r="W83" i="9"/>
  <c r="X83" i="9"/>
  <c r="E83" i="9"/>
  <c r="I81" i="9"/>
  <c r="J81" i="9"/>
  <c r="K81" i="9"/>
  <c r="L81" i="9"/>
  <c r="M81" i="9"/>
  <c r="N81" i="9"/>
  <c r="O81" i="9"/>
  <c r="P81" i="9"/>
  <c r="Q81" i="9"/>
  <c r="R81" i="9"/>
  <c r="S81" i="9"/>
  <c r="T81" i="9"/>
  <c r="U81" i="9"/>
  <c r="V81" i="9"/>
  <c r="W81" i="9"/>
  <c r="X81" i="9"/>
  <c r="E54" i="9"/>
  <c r="F54" i="9"/>
  <c r="G54" i="9"/>
  <c r="H54" i="9"/>
  <c r="I54" i="9"/>
  <c r="J54" i="9"/>
  <c r="K54" i="9"/>
  <c r="L54" i="9"/>
  <c r="M54" i="9"/>
  <c r="N54" i="9"/>
  <c r="O54" i="9"/>
  <c r="P54" i="9"/>
  <c r="Q54" i="9"/>
  <c r="R68" i="9"/>
  <c r="S68" i="9"/>
  <c r="T68" i="9"/>
  <c r="U68" i="9"/>
  <c r="Y76" i="9" s="1"/>
  <c r="V68" i="9"/>
  <c r="Z76" i="9" s="1"/>
  <c r="W68" i="9"/>
  <c r="X68" i="9"/>
  <c r="R63" i="9"/>
  <c r="S63" i="9"/>
  <c r="T63" i="9"/>
  <c r="U63" i="9"/>
  <c r="Y71" i="9" s="1"/>
  <c r="V63" i="9"/>
  <c r="W63" i="9"/>
  <c r="R64" i="9"/>
  <c r="S64" i="9"/>
  <c r="T64" i="9"/>
  <c r="U64" i="9"/>
  <c r="Y72" i="9" s="1"/>
  <c r="V64" i="9"/>
  <c r="W64" i="9"/>
  <c r="R65" i="9"/>
  <c r="S65" i="9"/>
  <c r="T65" i="9"/>
  <c r="U65" i="9"/>
  <c r="Y73" i="9" s="1"/>
  <c r="V65" i="9"/>
  <c r="W65" i="9"/>
  <c r="R66" i="9"/>
  <c r="S66" i="9"/>
  <c r="T66" i="9"/>
  <c r="U66" i="9"/>
  <c r="Y74" i="9" s="1"/>
  <c r="V66" i="9"/>
  <c r="W66" i="9"/>
  <c r="R67" i="9"/>
  <c r="S67" i="9"/>
  <c r="T67" i="9"/>
  <c r="U67" i="9"/>
  <c r="Y75" i="9" s="1"/>
  <c r="V67" i="9"/>
  <c r="Z75" i="9" s="1"/>
  <c r="W67" i="9"/>
  <c r="X64" i="9"/>
  <c r="AB72" i="9" s="1"/>
  <c r="X65" i="9"/>
  <c r="X66" i="9"/>
  <c r="X67" i="9"/>
  <c r="AB75" i="9" s="1"/>
  <c r="X63" i="9"/>
  <c r="G60" i="9"/>
  <c r="H60" i="9"/>
  <c r="I60" i="9"/>
  <c r="J60" i="9"/>
  <c r="K60" i="9"/>
  <c r="L60" i="9"/>
  <c r="M60" i="9"/>
  <c r="N60" i="9"/>
  <c r="O60" i="9"/>
  <c r="P60" i="9"/>
  <c r="Q60" i="9"/>
  <c r="R60" i="9"/>
  <c r="S60" i="9"/>
  <c r="T60" i="9"/>
  <c r="U60" i="9"/>
  <c r="V60" i="9"/>
  <c r="AB29" i="12" s="1"/>
  <c r="W60" i="9"/>
  <c r="AC29" i="12" s="1"/>
  <c r="X60" i="9"/>
  <c r="AD29" i="12" s="1"/>
  <c r="F60" i="9"/>
  <c r="I59" i="9"/>
  <c r="J59" i="9"/>
  <c r="K59" i="9"/>
  <c r="L59" i="9"/>
  <c r="M59" i="9"/>
  <c r="N59" i="9"/>
  <c r="O59" i="9"/>
  <c r="P59" i="9"/>
  <c r="Q59" i="9"/>
  <c r="R59" i="9"/>
  <c r="S59" i="9"/>
  <c r="T59" i="9"/>
  <c r="U59" i="9"/>
  <c r="V59" i="9"/>
  <c r="AB23" i="12" s="1"/>
  <c r="W59" i="9"/>
  <c r="AC23" i="12" s="1"/>
  <c r="X59" i="9"/>
  <c r="AD23" i="12" s="1"/>
  <c r="AA58" i="7" l="1"/>
  <c r="AC349" i="12"/>
  <c r="AB58" i="7"/>
  <c r="AD349" i="12"/>
  <c r="Z58" i="7"/>
  <c r="AB349" i="12"/>
  <c r="Y55" i="7"/>
  <c r="AC61" i="7" s="1"/>
  <c r="AC58" i="7"/>
  <c r="X73" i="9"/>
  <c r="AB73" i="9"/>
  <c r="W74" i="9"/>
  <c r="AA74" i="9"/>
  <c r="W72" i="9"/>
  <c r="AA72" i="9"/>
  <c r="X76" i="9"/>
  <c r="AB76" i="9"/>
  <c r="X71" i="9"/>
  <c r="AB71" i="9"/>
  <c r="W76" i="9"/>
  <c r="AA76" i="9"/>
  <c r="W75" i="9"/>
  <c r="AA75" i="9"/>
  <c r="W73" i="9"/>
  <c r="AA73" i="9"/>
  <c r="W71" i="9"/>
  <c r="AA71" i="9"/>
  <c r="X74" i="9"/>
  <c r="AB74" i="9"/>
  <c r="V73" i="9"/>
  <c r="Z73" i="9"/>
  <c r="V71" i="9"/>
  <c r="Z71" i="9"/>
  <c r="V75" i="9"/>
  <c r="X72" i="9"/>
  <c r="V74" i="9"/>
  <c r="Z74" i="9"/>
  <c r="V72" i="9"/>
  <c r="Z72" i="9"/>
  <c r="X75" i="9"/>
  <c r="V76" i="9"/>
  <c r="W13" i="1"/>
  <c r="V13" i="1"/>
  <c r="U13" i="1"/>
  <c r="T13" i="1"/>
  <c r="S13" i="1"/>
  <c r="R13" i="1"/>
  <c r="Q13" i="1"/>
  <c r="P13" i="1"/>
  <c r="O13" i="1"/>
  <c r="N13" i="1"/>
  <c r="M13" i="1"/>
  <c r="L13" i="1"/>
  <c r="K13" i="1"/>
  <c r="J13" i="1"/>
  <c r="I13" i="1"/>
  <c r="H13" i="1"/>
  <c r="G13" i="1"/>
  <c r="F13" i="1"/>
  <c r="E13" i="1"/>
  <c r="X13" i="1"/>
  <c r="H133" i="11" l="1"/>
  <c r="K133" i="11"/>
  <c r="I133" i="11"/>
  <c r="R133" i="11"/>
  <c r="T133" i="11"/>
  <c r="M133" i="11"/>
  <c r="U133" i="11"/>
  <c r="J133" i="11"/>
  <c r="F133" i="11"/>
  <c r="P133" i="11"/>
  <c r="Q133" i="11"/>
  <c r="S133" i="11"/>
  <c r="L133" i="11"/>
  <c r="N133" i="11"/>
  <c r="G133" i="11"/>
  <c r="O133" i="11"/>
  <c r="X133" i="11"/>
  <c r="AB53" i="1"/>
  <c r="W133" i="11"/>
  <c r="AA53" i="1"/>
  <c r="V133" i="11"/>
  <c r="Z53" i="1"/>
  <c r="O100" i="11"/>
  <c r="P100" i="11"/>
  <c r="Q100" i="11"/>
  <c r="R100" i="11"/>
  <c r="S100" i="11"/>
  <c r="F40" i="7"/>
  <c r="F36" i="3"/>
  <c r="G36" i="3"/>
  <c r="H36" i="3"/>
  <c r="I36" i="3"/>
  <c r="E36" i="3"/>
  <c r="F100" i="11"/>
  <c r="G100" i="11"/>
  <c r="H100" i="11"/>
  <c r="I100" i="11"/>
  <c r="E100" i="11"/>
  <c r="N45" i="6"/>
  <c r="N68" i="6" s="1"/>
  <c r="N79" i="6" s="1"/>
  <c r="K100" i="11"/>
  <c r="L100" i="11"/>
  <c r="M100" i="11"/>
  <c r="N100" i="11"/>
  <c r="J100" i="11"/>
  <c r="J39" i="10"/>
  <c r="K39" i="10"/>
  <c r="L39" i="10"/>
  <c r="M39" i="10"/>
  <c r="N39" i="10"/>
  <c r="F115" i="11" l="1"/>
  <c r="F118" i="11" s="1"/>
  <c r="M115" i="11"/>
  <c r="M118" i="11" s="1"/>
  <c r="S115" i="11"/>
  <c r="S118" i="11" s="1"/>
  <c r="R123" i="11"/>
  <c r="R131" i="11"/>
  <c r="V131" i="11"/>
  <c r="R124" i="11"/>
  <c r="O115" i="11"/>
  <c r="O118" i="11" s="1"/>
  <c r="N123" i="11"/>
  <c r="N131" i="11"/>
  <c r="N124" i="11"/>
  <c r="H115" i="11"/>
  <c r="H118" i="11" s="1"/>
  <c r="G123" i="11"/>
  <c r="T115" i="11"/>
  <c r="T118" i="11" s="1"/>
  <c r="S124" i="11"/>
  <c r="S123" i="11"/>
  <c r="S131" i="11"/>
  <c r="W131" i="11"/>
  <c r="P115" i="11"/>
  <c r="P118" i="11" s="1"/>
  <c r="O124" i="11"/>
  <c r="O131" i="11"/>
  <c r="O123" i="11"/>
  <c r="L131" i="11"/>
  <c r="L123" i="11"/>
  <c r="L124" i="11"/>
  <c r="J115" i="11"/>
  <c r="J118" i="11" s="1"/>
  <c r="I131" i="11"/>
  <c r="I123" i="11"/>
  <c r="R115" i="11"/>
  <c r="R118" i="11" s="1"/>
  <c r="Q124" i="11"/>
  <c r="U131" i="11"/>
  <c r="Q131" i="11"/>
  <c r="Q123" i="11"/>
  <c r="N115" i="11"/>
  <c r="N118" i="11" s="1"/>
  <c r="M124" i="11"/>
  <c r="M131" i="11"/>
  <c r="M123" i="11"/>
  <c r="G115" i="11"/>
  <c r="G118" i="11" s="1"/>
  <c r="F123" i="11"/>
  <c r="K115" i="11"/>
  <c r="K118" i="11" s="1"/>
  <c r="J123" i="11"/>
  <c r="J124" i="11"/>
  <c r="J131" i="11"/>
  <c r="L115" i="11"/>
  <c r="L118" i="11" s="1"/>
  <c r="K124" i="11"/>
  <c r="K123" i="11"/>
  <c r="K131" i="11"/>
  <c r="I115" i="11"/>
  <c r="I118" i="11" s="1"/>
  <c r="H123" i="11"/>
  <c r="Q115" i="11"/>
  <c r="Q118" i="11" s="1"/>
  <c r="P131" i="11"/>
  <c r="T131" i="11"/>
  <c r="P123" i="11"/>
  <c r="P124" i="11"/>
  <c r="O21" i="9" l="1"/>
  <c r="P21" i="9"/>
  <c r="Q21" i="9"/>
  <c r="R21" i="9"/>
  <c r="S21" i="9"/>
  <c r="Q78" i="9" l="1"/>
  <c r="U78" i="9"/>
  <c r="Q79" i="9"/>
  <c r="P78" i="9"/>
  <c r="T78" i="9"/>
  <c r="P79" i="9"/>
  <c r="S78" i="9"/>
  <c r="W78" i="9"/>
  <c r="S79" i="9"/>
  <c r="T79" i="9"/>
  <c r="O78" i="9"/>
  <c r="O79" i="9"/>
  <c r="R78" i="9"/>
  <c r="V78" i="9"/>
  <c r="R79" i="9"/>
  <c r="G40" i="8"/>
  <c r="H40" i="8"/>
  <c r="I40" i="8"/>
  <c r="J40" i="8"/>
  <c r="K40" i="8"/>
  <c r="L40" i="8"/>
  <c r="M40" i="8"/>
  <c r="N40" i="8"/>
  <c r="O40" i="8"/>
  <c r="P40" i="8"/>
  <c r="Q40" i="8"/>
  <c r="R40" i="8"/>
  <c r="S40" i="8"/>
  <c r="T40" i="8"/>
  <c r="U40" i="8"/>
  <c r="V40" i="8"/>
  <c r="W40" i="8"/>
  <c r="X40" i="8"/>
  <c r="G41" i="8"/>
  <c r="H41" i="8"/>
  <c r="I41" i="8"/>
  <c r="J41" i="8"/>
  <c r="K41" i="8"/>
  <c r="L41" i="8"/>
  <c r="M41" i="8"/>
  <c r="N41" i="8"/>
  <c r="O41" i="8"/>
  <c r="P41" i="8"/>
  <c r="Q41" i="8"/>
  <c r="R41" i="8"/>
  <c r="S41" i="8"/>
  <c r="T41" i="8"/>
  <c r="U41" i="8"/>
  <c r="V41" i="8"/>
  <c r="W41" i="8"/>
  <c r="X41" i="8"/>
  <c r="G42" i="8"/>
  <c r="H42" i="8"/>
  <c r="I42" i="8"/>
  <c r="J42" i="8"/>
  <c r="K42" i="8"/>
  <c r="L42" i="8"/>
  <c r="M42" i="8"/>
  <c r="N42" i="8"/>
  <c r="O42" i="8"/>
  <c r="P42" i="8"/>
  <c r="Q42" i="8"/>
  <c r="R42" i="8"/>
  <c r="S42" i="8"/>
  <c r="T42" i="8"/>
  <c r="U42" i="8"/>
  <c r="V42" i="8"/>
  <c r="W42" i="8"/>
  <c r="X42" i="8"/>
  <c r="G43" i="8"/>
  <c r="H43" i="8"/>
  <c r="I43" i="8"/>
  <c r="J43" i="8"/>
  <c r="K43" i="8"/>
  <c r="L43" i="8"/>
  <c r="M43" i="8"/>
  <c r="N43" i="8"/>
  <c r="O43" i="8"/>
  <c r="P43" i="8"/>
  <c r="Q43" i="8"/>
  <c r="R43" i="8"/>
  <c r="S43" i="8"/>
  <c r="T43" i="8"/>
  <c r="U43" i="8"/>
  <c r="V43" i="8"/>
  <c r="W43" i="8"/>
  <c r="X43" i="8"/>
  <c r="G44" i="8"/>
  <c r="H44" i="8"/>
  <c r="I44" i="8"/>
  <c r="J44" i="8"/>
  <c r="K44" i="8"/>
  <c r="L44" i="8"/>
  <c r="M44" i="8"/>
  <c r="N44" i="8"/>
  <c r="O44" i="8"/>
  <c r="P44" i="8"/>
  <c r="Q44" i="8"/>
  <c r="R44" i="8"/>
  <c r="S44" i="8"/>
  <c r="T44" i="8"/>
  <c r="U44" i="8"/>
  <c r="V44" i="8"/>
  <c r="W44" i="8"/>
  <c r="X44" i="8"/>
  <c r="G45" i="8"/>
  <c r="H45" i="8"/>
  <c r="I45" i="8"/>
  <c r="J45" i="8"/>
  <c r="K45" i="8"/>
  <c r="L45" i="8"/>
  <c r="M45" i="8"/>
  <c r="N45" i="8"/>
  <c r="O45" i="8"/>
  <c r="P45" i="8"/>
  <c r="Q45" i="8"/>
  <c r="R45" i="8"/>
  <c r="S45" i="8"/>
  <c r="T45" i="8"/>
  <c r="U45" i="8"/>
  <c r="V45" i="8"/>
  <c r="W45" i="8"/>
  <c r="X45" i="8"/>
  <c r="F41" i="8"/>
  <c r="F42" i="8"/>
  <c r="F43" i="8"/>
  <c r="F44" i="8"/>
  <c r="F45" i="8"/>
  <c r="F40" i="8"/>
  <c r="C20" i="8"/>
  <c r="D20" i="8"/>
  <c r="E20" i="8"/>
  <c r="F20" i="8"/>
  <c r="G20" i="8"/>
  <c r="H20" i="8"/>
  <c r="I20" i="8"/>
  <c r="J20" i="8"/>
  <c r="K20" i="8"/>
  <c r="L20" i="8"/>
  <c r="M20" i="8"/>
  <c r="N20" i="8"/>
  <c r="O20" i="8"/>
  <c r="P20" i="8"/>
  <c r="Q20" i="8"/>
  <c r="R20" i="8"/>
  <c r="S20" i="8"/>
  <c r="T20" i="8"/>
  <c r="U20" i="8"/>
  <c r="V20" i="8"/>
  <c r="W20" i="8"/>
  <c r="X20" i="8"/>
  <c r="Y20" i="8"/>
  <c r="B20" i="8"/>
  <c r="W99" i="5"/>
  <c r="V99" i="5"/>
  <c r="U99" i="5"/>
  <c r="T99" i="5"/>
  <c r="S99" i="5"/>
  <c r="R99" i="5"/>
  <c r="Q99" i="5"/>
  <c r="P99" i="5"/>
  <c r="O99" i="5"/>
  <c r="W98" i="5"/>
  <c r="V98" i="5"/>
  <c r="U98" i="5"/>
  <c r="T98" i="5"/>
  <c r="S98" i="5"/>
  <c r="R98" i="5"/>
  <c r="W97" i="5"/>
  <c r="V97" i="5"/>
  <c r="U97" i="5"/>
  <c r="T97" i="5"/>
  <c r="S97" i="5"/>
  <c r="R97" i="5"/>
  <c r="W95" i="5"/>
  <c r="V95" i="5"/>
  <c r="U95" i="5"/>
  <c r="T95" i="5"/>
  <c r="S95" i="5"/>
  <c r="R95" i="5"/>
  <c r="Q95" i="5"/>
  <c r="P95" i="5"/>
  <c r="O95" i="5"/>
  <c r="N95" i="5"/>
  <c r="M95" i="5"/>
  <c r="L95" i="5"/>
  <c r="W87" i="5"/>
  <c r="V87" i="5"/>
  <c r="U87" i="5"/>
  <c r="T87" i="5"/>
  <c r="S87" i="5"/>
  <c r="W78" i="5"/>
  <c r="V78" i="5"/>
  <c r="U78" i="5"/>
  <c r="T78" i="5"/>
  <c r="S78" i="5"/>
  <c r="R78" i="5"/>
  <c r="Q78" i="5"/>
  <c r="P78" i="5"/>
  <c r="O78" i="5"/>
  <c r="N78" i="5"/>
  <c r="M78" i="5"/>
  <c r="L78" i="5"/>
  <c r="K78" i="5"/>
  <c r="J78" i="5"/>
  <c r="I78" i="5"/>
  <c r="H78" i="5"/>
  <c r="G78" i="5"/>
  <c r="F78" i="5"/>
  <c r="W73" i="5"/>
  <c r="V73" i="5"/>
  <c r="U73" i="5"/>
  <c r="T73" i="5"/>
  <c r="S73" i="5"/>
  <c r="R73" i="5"/>
  <c r="Q73" i="5"/>
  <c r="P73" i="5"/>
  <c r="O73" i="5"/>
  <c r="N73" i="5"/>
  <c r="M73" i="5"/>
  <c r="L73" i="5"/>
  <c r="K73" i="5"/>
  <c r="J73" i="5"/>
  <c r="I73" i="5"/>
  <c r="H73" i="5"/>
  <c r="G73" i="5"/>
  <c r="F73" i="5"/>
  <c r="W72" i="5"/>
  <c r="V72" i="5"/>
  <c r="U72" i="5"/>
  <c r="T72" i="5"/>
  <c r="S72" i="5"/>
  <c r="R72" i="5"/>
  <c r="Q72" i="5"/>
  <c r="P72" i="5"/>
  <c r="O72" i="5"/>
  <c r="N72" i="5"/>
  <c r="M72" i="5"/>
  <c r="L72" i="5"/>
  <c r="K72" i="5"/>
  <c r="J72" i="5"/>
  <c r="I72" i="5"/>
  <c r="H72" i="5"/>
  <c r="G72" i="5"/>
  <c r="F72" i="5"/>
  <c r="Y44" i="5"/>
  <c r="Y48" i="5" s="1"/>
  <c r="X44" i="5"/>
  <c r="X48" i="5" s="1"/>
  <c r="W44" i="5"/>
  <c r="W48" i="5" s="1"/>
  <c r="V44" i="5"/>
  <c r="V48" i="5" s="1"/>
  <c r="U44" i="5"/>
  <c r="U48" i="5" s="1"/>
  <c r="T44" i="5"/>
  <c r="T48" i="5" s="1"/>
  <c r="S44" i="5"/>
  <c r="S48" i="5" s="1"/>
  <c r="R44" i="5"/>
  <c r="R48" i="5" s="1"/>
  <c r="Q44" i="5"/>
  <c r="Q48" i="5" s="1"/>
  <c r="P44" i="5"/>
  <c r="P48" i="5" s="1"/>
  <c r="O44" i="5"/>
  <c r="O48" i="5" s="1"/>
  <c r="N44" i="5"/>
  <c r="N48" i="5" s="1"/>
  <c r="M44" i="5"/>
  <c r="M48" i="5" s="1"/>
  <c r="L44" i="5"/>
  <c r="L48" i="5" s="1"/>
  <c r="K44" i="5"/>
  <c r="K48" i="5" s="1"/>
  <c r="J44" i="5"/>
  <c r="J48" i="5" s="1"/>
  <c r="I44" i="5"/>
  <c r="I48" i="5" s="1"/>
  <c r="H44" i="5"/>
  <c r="H48" i="5" s="1"/>
  <c r="G44" i="5"/>
  <c r="G48" i="5" s="1"/>
  <c r="F44" i="5"/>
  <c r="F48" i="5" s="1"/>
  <c r="Y43" i="5"/>
  <c r="X43" i="5"/>
  <c r="W43" i="5"/>
  <c r="V43" i="5"/>
  <c r="U43" i="5"/>
  <c r="T43" i="5"/>
  <c r="S43" i="5"/>
  <c r="R43" i="5"/>
  <c r="Q43" i="5"/>
  <c r="P43" i="5"/>
  <c r="O43" i="5"/>
  <c r="N43" i="5"/>
  <c r="M43" i="5"/>
  <c r="L43" i="5"/>
  <c r="K43" i="5"/>
  <c r="J43" i="5"/>
  <c r="I43" i="5"/>
  <c r="H43" i="5"/>
  <c r="G43" i="5"/>
  <c r="F43" i="5"/>
  <c r="Y89" i="5"/>
  <c r="X89" i="5"/>
  <c r="W89" i="5"/>
  <c r="V89" i="5"/>
  <c r="U89" i="5"/>
  <c r="T89" i="5"/>
  <c r="S89" i="5"/>
  <c r="R89" i="5"/>
  <c r="Q89" i="5"/>
  <c r="P89" i="5"/>
  <c r="O89" i="5"/>
  <c r="N89" i="5"/>
  <c r="Y88" i="5"/>
  <c r="X88" i="5"/>
  <c r="W88" i="5"/>
  <c r="V88" i="5"/>
  <c r="U88" i="5"/>
  <c r="T88" i="5"/>
  <c r="S88" i="5"/>
  <c r="R88" i="5"/>
  <c r="Q88" i="5"/>
  <c r="P88" i="5"/>
  <c r="O88" i="5"/>
  <c r="N88" i="5"/>
  <c r="Y69" i="5"/>
  <c r="Y91" i="5" s="1"/>
  <c r="AC96" i="5" s="1"/>
  <c r="X69" i="5"/>
  <c r="W69" i="5"/>
  <c r="W91" i="5" s="1"/>
  <c r="V69" i="5"/>
  <c r="U69" i="5"/>
  <c r="U91" i="5" s="1"/>
  <c r="T69" i="5"/>
  <c r="T91" i="5" s="1"/>
  <c r="S69" i="5"/>
  <c r="S91" i="5" s="1"/>
  <c r="R69" i="5"/>
  <c r="R91" i="5" s="1"/>
  <c r="Q69" i="5"/>
  <c r="Q91" i="5" s="1"/>
  <c r="P69" i="5"/>
  <c r="P91" i="5" s="1"/>
  <c r="O69" i="5"/>
  <c r="O91" i="5" s="1"/>
  <c r="N69" i="5"/>
  <c r="N91" i="5" s="1"/>
  <c r="M69" i="5"/>
  <c r="M91" i="5" s="1"/>
  <c r="L69" i="5"/>
  <c r="L91" i="5" s="1"/>
  <c r="K69" i="5"/>
  <c r="K91" i="5" s="1"/>
  <c r="J69" i="5"/>
  <c r="J91" i="5" s="1"/>
  <c r="I69" i="5"/>
  <c r="I91" i="5" s="1"/>
  <c r="H69" i="5"/>
  <c r="H91" i="5" s="1"/>
  <c r="G69" i="5"/>
  <c r="G91" i="5" s="1"/>
  <c r="F69" i="5"/>
  <c r="E69" i="5"/>
  <c r="D69" i="5"/>
  <c r="C69" i="5"/>
  <c r="B69" i="5"/>
  <c r="D7" i="5"/>
  <c r="C7" i="5"/>
  <c r="X77" i="7"/>
  <c r="W77" i="7"/>
  <c r="V77" i="7"/>
  <c r="U77" i="7"/>
  <c r="T77" i="7"/>
  <c r="S77" i="7"/>
  <c r="R77" i="7"/>
  <c r="Q77" i="7"/>
  <c r="P77" i="7"/>
  <c r="O77" i="7"/>
  <c r="N77" i="7"/>
  <c r="M77" i="7"/>
  <c r="L77" i="7"/>
  <c r="K77" i="7"/>
  <c r="J77" i="7"/>
  <c r="I77" i="7"/>
  <c r="H77" i="7"/>
  <c r="G77" i="7"/>
  <c r="F77" i="7"/>
  <c r="E77" i="7"/>
  <c r="D77" i="7"/>
  <c r="C77" i="7"/>
  <c r="X76" i="7"/>
  <c r="W76" i="7"/>
  <c r="V76" i="7"/>
  <c r="U76" i="7"/>
  <c r="T76" i="7"/>
  <c r="S76" i="7"/>
  <c r="R76" i="7"/>
  <c r="Q76" i="7"/>
  <c r="P76" i="7"/>
  <c r="O76" i="7"/>
  <c r="N76" i="7"/>
  <c r="M76" i="7"/>
  <c r="L76" i="7"/>
  <c r="K76" i="7"/>
  <c r="J76" i="7"/>
  <c r="I76" i="7"/>
  <c r="H76" i="7"/>
  <c r="G76" i="7"/>
  <c r="F76" i="7"/>
  <c r="Y71" i="7"/>
  <c r="X71" i="7"/>
  <c r="W71" i="7"/>
  <c r="V71" i="7"/>
  <c r="U71" i="7"/>
  <c r="T71" i="7"/>
  <c r="S71" i="7"/>
  <c r="R71" i="7"/>
  <c r="Q71" i="7"/>
  <c r="P71" i="7"/>
  <c r="O71" i="7"/>
  <c r="N71" i="7"/>
  <c r="M71" i="7"/>
  <c r="L71" i="7"/>
  <c r="K71" i="7"/>
  <c r="J71" i="7"/>
  <c r="Y70" i="7"/>
  <c r="X70" i="7"/>
  <c r="W70" i="7"/>
  <c r="V70" i="7"/>
  <c r="U70" i="7"/>
  <c r="T70" i="7"/>
  <c r="S70" i="7"/>
  <c r="R70" i="7"/>
  <c r="Q70" i="7"/>
  <c r="P70" i="7"/>
  <c r="O70" i="7"/>
  <c r="N70" i="7"/>
  <c r="M70" i="7"/>
  <c r="L70" i="7"/>
  <c r="K70" i="7"/>
  <c r="J70" i="7"/>
  <c r="I70" i="7"/>
  <c r="H70" i="7"/>
  <c r="G70" i="7"/>
  <c r="F70" i="7"/>
  <c r="Y66" i="7"/>
  <c r="X66" i="7"/>
  <c r="W66" i="7"/>
  <c r="V66" i="7"/>
  <c r="U66" i="7"/>
  <c r="T66" i="7"/>
  <c r="S66" i="7"/>
  <c r="R66" i="7"/>
  <c r="Q66" i="7"/>
  <c r="P66" i="7"/>
  <c r="O66" i="7"/>
  <c r="N66" i="7"/>
  <c r="M66" i="7"/>
  <c r="L66" i="7"/>
  <c r="K66" i="7"/>
  <c r="J66" i="7"/>
  <c r="I66" i="7"/>
  <c r="H66" i="7"/>
  <c r="G66" i="7"/>
  <c r="F66" i="7"/>
  <c r="Y65" i="7"/>
  <c r="X65" i="7"/>
  <c r="W65" i="7"/>
  <c r="V65" i="7"/>
  <c r="U65" i="7"/>
  <c r="T65" i="7"/>
  <c r="S65" i="7"/>
  <c r="R65" i="7"/>
  <c r="Q65" i="7"/>
  <c r="P65" i="7"/>
  <c r="O65" i="7"/>
  <c r="N65" i="7"/>
  <c r="M65" i="7"/>
  <c r="L65" i="7"/>
  <c r="K65" i="7"/>
  <c r="J65" i="7"/>
  <c r="I65" i="7"/>
  <c r="H65" i="7"/>
  <c r="G65" i="7"/>
  <c r="F65" i="7"/>
  <c r="Y58" i="7"/>
  <c r="X58" i="7"/>
  <c r="W58" i="7"/>
  <c r="V58" i="7"/>
  <c r="U58" i="7"/>
  <c r="T58" i="7"/>
  <c r="S58" i="7"/>
  <c r="R58" i="7"/>
  <c r="Q58" i="7"/>
  <c r="P58" i="7"/>
  <c r="O58" i="7"/>
  <c r="N58" i="7"/>
  <c r="M58" i="7"/>
  <c r="L58" i="7"/>
  <c r="Y57" i="7"/>
  <c r="X57" i="7"/>
  <c r="W57" i="7"/>
  <c r="V57" i="7"/>
  <c r="U57" i="7"/>
  <c r="T57" i="7"/>
  <c r="S57" i="7"/>
  <c r="R57" i="7"/>
  <c r="Q57" i="7"/>
  <c r="P57" i="7"/>
  <c r="O57" i="7"/>
  <c r="N57" i="7"/>
  <c r="M57" i="7"/>
  <c r="L57" i="7"/>
  <c r="Y49" i="7"/>
  <c r="X49" i="7"/>
  <c r="W49" i="7"/>
  <c r="V49" i="7"/>
  <c r="U49" i="7"/>
  <c r="T49" i="7"/>
  <c r="S49" i="7"/>
  <c r="R49" i="7"/>
  <c r="Q49" i="7"/>
  <c r="P49" i="7"/>
  <c r="O49" i="7"/>
  <c r="N49" i="7"/>
  <c r="M49" i="7"/>
  <c r="L49" i="7"/>
  <c r="K49" i="7"/>
  <c r="J49" i="7"/>
  <c r="I49" i="7"/>
  <c r="H49" i="7"/>
  <c r="G49" i="7"/>
  <c r="F49" i="7"/>
  <c r="Y47" i="7"/>
  <c r="X47" i="7"/>
  <c r="W47" i="7"/>
  <c r="V47" i="7"/>
  <c r="U47" i="7"/>
  <c r="T47" i="7"/>
  <c r="S47" i="7"/>
  <c r="R47" i="7"/>
  <c r="Q47" i="7"/>
  <c r="P47" i="7"/>
  <c r="O47" i="7"/>
  <c r="N47" i="7"/>
  <c r="M47" i="7"/>
  <c r="L47" i="7"/>
  <c r="Y46" i="7"/>
  <c r="X46" i="7"/>
  <c r="W46" i="7"/>
  <c r="V46" i="7"/>
  <c r="U46" i="7"/>
  <c r="T46" i="7"/>
  <c r="S46" i="7"/>
  <c r="R46" i="7"/>
  <c r="Q46" i="7"/>
  <c r="P46" i="7"/>
  <c r="O46" i="7"/>
  <c r="N46" i="7"/>
  <c r="M46" i="7"/>
  <c r="L46" i="7"/>
  <c r="K46" i="7"/>
  <c r="J46" i="7"/>
  <c r="I46" i="7"/>
  <c r="H46" i="7"/>
  <c r="G46" i="7"/>
  <c r="F46" i="7"/>
  <c r="X36" i="7"/>
  <c r="W36" i="7"/>
  <c r="AA73" i="7" s="1"/>
  <c r="V36" i="7"/>
  <c r="Z73" i="7" s="1"/>
  <c r="U36" i="7"/>
  <c r="Y73" i="7" s="1"/>
  <c r="T36" i="7"/>
  <c r="S36" i="7"/>
  <c r="R36" i="7"/>
  <c r="Q36" i="7"/>
  <c r="P36" i="7"/>
  <c r="O36" i="7"/>
  <c r="N36" i="7"/>
  <c r="M36" i="7"/>
  <c r="L36" i="7"/>
  <c r="K36" i="7"/>
  <c r="J36" i="7"/>
  <c r="I36" i="7"/>
  <c r="H36" i="7"/>
  <c r="G36" i="7"/>
  <c r="F36" i="7"/>
  <c r="E36" i="7"/>
  <c r="X40" i="7"/>
  <c r="W40" i="7"/>
  <c r="V40" i="7"/>
  <c r="U40" i="7"/>
  <c r="T40" i="7"/>
  <c r="S40" i="7"/>
  <c r="R40" i="7"/>
  <c r="Q40" i="7"/>
  <c r="P40" i="7"/>
  <c r="O40" i="7"/>
  <c r="N40" i="7"/>
  <c r="M40" i="7"/>
  <c r="L40" i="7"/>
  <c r="K40" i="7"/>
  <c r="J40" i="7"/>
  <c r="I40" i="7"/>
  <c r="H40" i="7"/>
  <c r="G40" i="7"/>
  <c r="X39" i="7"/>
  <c r="W39" i="7"/>
  <c r="V39" i="7"/>
  <c r="U39" i="7"/>
  <c r="T39" i="7"/>
  <c r="S39" i="7"/>
  <c r="R39" i="7"/>
  <c r="Q39" i="7"/>
  <c r="P39" i="7"/>
  <c r="O39" i="7"/>
  <c r="N39" i="7"/>
  <c r="M39" i="7"/>
  <c r="L39" i="7"/>
  <c r="K39" i="7"/>
  <c r="J39" i="7"/>
  <c r="I39" i="7"/>
  <c r="H39" i="7"/>
  <c r="G39" i="7"/>
  <c r="F39" i="7"/>
  <c r="F37" i="7" s="1"/>
  <c r="E39" i="7"/>
  <c r="D39" i="7"/>
  <c r="C39" i="7"/>
  <c r="X28" i="7"/>
  <c r="W28" i="7"/>
  <c r="V28" i="7"/>
  <c r="U28" i="7"/>
  <c r="T28" i="7"/>
  <c r="S28" i="7"/>
  <c r="R28" i="7"/>
  <c r="Q28" i="7"/>
  <c r="P28" i="7"/>
  <c r="O28" i="7"/>
  <c r="N28" i="7"/>
  <c r="M28" i="7"/>
  <c r="L28" i="7"/>
  <c r="K28" i="7"/>
  <c r="J28" i="7"/>
  <c r="I28" i="7"/>
  <c r="H28" i="7"/>
  <c r="G28" i="7"/>
  <c r="F28" i="7"/>
  <c r="E28" i="7"/>
  <c r="X27" i="7"/>
  <c r="W27" i="7"/>
  <c r="V27" i="7"/>
  <c r="U27" i="7"/>
  <c r="T27" i="7"/>
  <c r="S27" i="7"/>
  <c r="R27" i="7"/>
  <c r="Q27" i="7"/>
  <c r="P27" i="7"/>
  <c r="O27" i="7"/>
  <c r="N27" i="7"/>
  <c r="M27" i="7"/>
  <c r="L27" i="7"/>
  <c r="K27" i="7"/>
  <c r="J27" i="7"/>
  <c r="I27" i="7"/>
  <c r="H27" i="7"/>
  <c r="G27" i="7"/>
  <c r="F27" i="7"/>
  <c r="E27" i="7"/>
  <c r="X55" i="7"/>
  <c r="AB61" i="7" s="1"/>
  <c r="W55" i="7"/>
  <c r="AA61" i="7" s="1"/>
  <c r="V55" i="7"/>
  <c r="Z61" i="7" s="1"/>
  <c r="U55" i="7"/>
  <c r="Y61" i="7" s="1"/>
  <c r="T55" i="7"/>
  <c r="S55" i="7"/>
  <c r="R55" i="7"/>
  <c r="Q55" i="7"/>
  <c r="P55" i="7"/>
  <c r="O55" i="7"/>
  <c r="N55" i="7"/>
  <c r="M55" i="7"/>
  <c r="L55" i="7"/>
  <c r="K55" i="7"/>
  <c r="J55" i="7"/>
  <c r="I55" i="7"/>
  <c r="H55" i="7"/>
  <c r="X54" i="7"/>
  <c r="AB60" i="7" s="1"/>
  <c r="W54" i="7"/>
  <c r="AA60" i="7" s="1"/>
  <c r="V54" i="7"/>
  <c r="Z60" i="7" s="1"/>
  <c r="U54" i="7"/>
  <c r="Y60" i="7" s="1"/>
  <c r="T54" i="7"/>
  <c r="S54" i="7"/>
  <c r="R54" i="7"/>
  <c r="Q54" i="7"/>
  <c r="P54" i="7"/>
  <c r="O54" i="7"/>
  <c r="N54" i="7"/>
  <c r="M54" i="7"/>
  <c r="L54" i="7"/>
  <c r="K54" i="7"/>
  <c r="J54" i="7"/>
  <c r="I54" i="7"/>
  <c r="H54" i="7"/>
  <c r="Q7" i="7"/>
  <c r="P7" i="7"/>
  <c r="O7" i="7"/>
  <c r="D7" i="7"/>
  <c r="C7" i="7"/>
  <c r="Y88" i="6"/>
  <c r="X88" i="6"/>
  <c r="W88" i="6"/>
  <c r="V88" i="6"/>
  <c r="U88" i="6"/>
  <c r="T88" i="6"/>
  <c r="S88" i="6"/>
  <c r="R88" i="6"/>
  <c r="Q88" i="6"/>
  <c r="P88" i="6"/>
  <c r="O88" i="6"/>
  <c r="N88" i="6"/>
  <c r="M88" i="6"/>
  <c r="L88" i="6"/>
  <c r="K88" i="6"/>
  <c r="J88" i="6"/>
  <c r="I88" i="6"/>
  <c r="H88" i="6"/>
  <c r="G88" i="6"/>
  <c r="F88" i="6"/>
  <c r="Y87" i="6"/>
  <c r="X87" i="6"/>
  <c r="W87" i="6"/>
  <c r="V87" i="6"/>
  <c r="U87" i="6"/>
  <c r="T87" i="6"/>
  <c r="S87" i="6"/>
  <c r="R87" i="6"/>
  <c r="Q87" i="6"/>
  <c r="P87" i="6"/>
  <c r="O87" i="6"/>
  <c r="N87" i="6"/>
  <c r="M87" i="6"/>
  <c r="L87" i="6"/>
  <c r="K87" i="6"/>
  <c r="J87" i="6"/>
  <c r="I87" i="6"/>
  <c r="X86" i="6"/>
  <c r="W86" i="6"/>
  <c r="V86" i="6"/>
  <c r="U86" i="6"/>
  <c r="T86" i="6"/>
  <c r="S86" i="6"/>
  <c r="R86" i="6"/>
  <c r="Q86" i="6"/>
  <c r="P86" i="6"/>
  <c r="O86" i="6"/>
  <c r="N86" i="6"/>
  <c r="M86" i="6"/>
  <c r="L86" i="6"/>
  <c r="K86" i="6"/>
  <c r="J86" i="6"/>
  <c r="I86" i="6"/>
  <c r="Y85" i="6"/>
  <c r="X85" i="6"/>
  <c r="W85" i="6"/>
  <c r="V85" i="6"/>
  <c r="U85" i="6"/>
  <c r="T85" i="6"/>
  <c r="S85" i="6"/>
  <c r="R85" i="6"/>
  <c r="Q85" i="6"/>
  <c r="P85" i="6"/>
  <c r="O85" i="6"/>
  <c r="N85" i="6"/>
  <c r="M85" i="6"/>
  <c r="L85" i="6"/>
  <c r="K85" i="6"/>
  <c r="J85" i="6"/>
  <c r="I85" i="6"/>
  <c r="Y84" i="6"/>
  <c r="X84" i="6"/>
  <c r="W84" i="6"/>
  <c r="V84" i="6"/>
  <c r="U84" i="6"/>
  <c r="T84" i="6"/>
  <c r="S84" i="6"/>
  <c r="R84" i="6"/>
  <c r="Q84" i="6"/>
  <c r="P84" i="6"/>
  <c r="O84" i="6"/>
  <c r="N84" i="6"/>
  <c r="M84" i="6"/>
  <c r="L84" i="6"/>
  <c r="K84" i="6"/>
  <c r="J84" i="6"/>
  <c r="I84" i="6"/>
  <c r="X81" i="6"/>
  <c r="W81" i="6"/>
  <c r="V81" i="6"/>
  <c r="U81" i="6"/>
  <c r="T81" i="6"/>
  <c r="S81" i="6"/>
  <c r="R81" i="6"/>
  <c r="Q81" i="6"/>
  <c r="P81" i="6"/>
  <c r="O81" i="6"/>
  <c r="N81" i="6"/>
  <c r="M81" i="6"/>
  <c r="L81" i="6"/>
  <c r="K81" i="6"/>
  <c r="J81" i="6"/>
  <c r="Y80" i="6"/>
  <c r="X80" i="6"/>
  <c r="W80" i="6"/>
  <c r="V80" i="6"/>
  <c r="U80" i="6"/>
  <c r="T80" i="6"/>
  <c r="S80" i="6"/>
  <c r="R80" i="6"/>
  <c r="Q80" i="6"/>
  <c r="P80" i="6"/>
  <c r="O80" i="6"/>
  <c r="N80" i="6"/>
  <c r="Y77" i="6"/>
  <c r="X77" i="6"/>
  <c r="W77" i="6"/>
  <c r="V77" i="6"/>
  <c r="U77" i="6"/>
  <c r="T77" i="6"/>
  <c r="S77" i="6"/>
  <c r="R77" i="6"/>
  <c r="Q77" i="6"/>
  <c r="P77" i="6"/>
  <c r="O77" i="6"/>
  <c r="N77" i="6"/>
  <c r="M77" i="6"/>
  <c r="L77" i="6"/>
  <c r="K77" i="6"/>
  <c r="J77" i="6"/>
  <c r="I77" i="6"/>
  <c r="H77" i="6"/>
  <c r="G77" i="6"/>
  <c r="F77" i="6"/>
  <c r="E77" i="6"/>
  <c r="D77" i="6"/>
  <c r="C77" i="6"/>
  <c r="Y76" i="6"/>
  <c r="X76" i="6"/>
  <c r="W76" i="6"/>
  <c r="V76" i="6"/>
  <c r="U76" i="6"/>
  <c r="T76" i="6"/>
  <c r="S76" i="6"/>
  <c r="R76" i="6"/>
  <c r="Q76" i="6"/>
  <c r="P76" i="6"/>
  <c r="O76" i="6"/>
  <c r="N76" i="6"/>
  <c r="M76" i="6"/>
  <c r="L76" i="6"/>
  <c r="K76" i="6"/>
  <c r="J76" i="6"/>
  <c r="I76" i="6"/>
  <c r="H76" i="6"/>
  <c r="F76" i="6"/>
  <c r="Y75" i="6"/>
  <c r="X75" i="6"/>
  <c r="W75" i="6"/>
  <c r="V75" i="6"/>
  <c r="U75" i="6"/>
  <c r="T75" i="6"/>
  <c r="S75" i="6"/>
  <c r="R75" i="6"/>
  <c r="Q75" i="6"/>
  <c r="P75" i="6"/>
  <c r="O75" i="6"/>
  <c r="N75" i="6"/>
  <c r="M75" i="6"/>
  <c r="L75" i="6"/>
  <c r="K75" i="6"/>
  <c r="J75" i="6"/>
  <c r="I75" i="6"/>
  <c r="H75" i="6"/>
  <c r="G75" i="6"/>
  <c r="F75" i="6"/>
  <c r="Y74" i="6"/>
  <c r="X74" i="6"/>
  <c r="W74" i="6"/>
  <c r="V74" i="6"/>
  <c r="U74" i="6"/>
  <c r="T74" i="6"/>
  <c r="S74" i="6"/>
  <c r="R74" i="6"/>
  <c r="Q74" i="6"/>
  <c r="P74" i="6"/>
  <c r="O74" i="6"/>
  <c r="N74" i="6"/>
  <c r="M74" i="6"/>
  <c r="L74" i="6"/>
  <c r="K74" i="6"/>
  <c r="J74" i="6"/>
  <c r="I74" i="6"/>
  <c r="H74" i="6"/>
  <c r="G74" i="6"/>
  <c r="F74" i="6"/>
  <c r="Y73" i="6"/>
  <c r="AE186" i="12" s="1"/>
  <c r="X73" i="6"/>
  <c r="AD186" i="12" s="1"/>
  <c r="W73" i="6"/>
  <c r="AC186" i="12" s="1"/>
  <c r="V73" i="6"/>
  <c r="U73" i="6"/>
  <c r="T73" i="6"/>
  <c r="S73" i="6"/>
  <c r="R73" i="6"/>
  <c r="Q73" i="6"/>
  <c r="P73" i="6"/>
  <c r="O73" i="6"/>
  <c r="N73" i="6"/>
  <c r="M73" i="6"/>
  <c r="L73" i="6"/>
  <c r="K73" i="6"/>
  <c r="J73" i="6"/>
  <c r="I73" i="6"/>
  <c r="H73" i="6"/>
  <c r="G73" i="6"/>
  <c r="F73" i="6"/>
  <c r="X49" i="6"/>
  <c r="AD126" i="12" s="1"/>
  <c r="W49" i="6"/>
  <c r="AC126" i="12" s="1"/>
  <c r="V49" i="6"/>
  <c r="AB126" i="12" s="1"/>
  <c r="U49" i="6"/>
  <c r="T49" i="6"/>
  <c r="S49" i="6"/>
  <c r="R49" i="6"/>
  <c r="Q49" i="6"/>
  <c r="P49" i="6"/>
  <c r="O49" i="6"/>
  <c r="N49" i="6"/>
  <c r="M49" i="6"/>
  <c r="L49" i="6"/>
  <c r="K49" i="6"/>
  <c r="J49" i="6"/>
  <c r="I49" i="6"/>
  <c r="H49" i="6"/>
  <c r="G49" i="6"/>
  <c r="F49" i="6"/>
  <c r="E49" i="6"/>
  <c r="D49" i="6"/>
  <c r="C49" i="6"/>
  <c r="X48" i="6"/>
  <c r="AD106" i="12" s="1"/>
  <c r="W48" i="6"/>
  <c r="V48" i="6"/>
  <c r="U48" i="6"/>
  <c r="T48" i="6"/>
  <c r="S48" i="6"/>
  <c r="R48" i="6"/>
  <c r="Q48" i="6"/>
  <c r="P48" i="6"/>
  <c r="O48" i="6"/>
  <c r="N48" i="6"/>
  <c r="M48" i="6"/>
  <c r="L48" i="6"/>
  <c r="K48" i="6"/>
  <c r="J48" i="6"/>
  <c r="I48" i="6"/>
  <c r="H48" i="6"/>
  <c r="G48" i="6"/>
  <c r="F48" i="6"/>
  <c r="Y65" i="6"/>
  <c r="AE166" i="12" s="1"/>
  <c r="X65" i="6"/>
  <c r="W65" i="6"/>
  <c r="V65" i="6"/>
  <c r="U65" i="6"/>
  <c r="T65" i="6"/>
  <c r="S65" i="6"/>
  <c r="R65" i="6"/>
  <c r="Q65" i="6"/>
  <c r="P65" i="6"/>
  <c r="O65" i="6"/>
  <c r="N65" i="6"/>
  <c r="M65" i="6"/>
  <c r="L65" i="6"/>
  <c r="K65" i="6"/>
  <c r="J65" i="6"/>
  <c r="I65" i="6"/>
  <c r="H65" i="6"/>
  <c r="G65" i="6"/>
  <c r="F65" i="6"/>
  <c r="Y70" i="6"/>
  <c r="X70" i="6"/>
  <c r="W70" i="6"/>
  <c r="V70" i="6"/>
  <c r="U70" i="6"/>
  <c r="T70" i="6"/>
  <c r="S70" i="6"/>
  <c r="R70" i="6"/>
  <c r="Q70" i="6"/>
  <c r="P70" i="6"/>
  <c r="O70" i="6"/>
  <c r="N70" i="6"/>
  <c r="M70" i="6"/>
  <c r="L70" i="6"/>
  <c r="K70" i="6"/>
  <c r="J70" i="6"/>
  <c r="I70" i="6"/>
  <c r="H70" i="6"/>
  <c r="G70" i="6"/>
  <c r="F70" i="6"/>
  <c r="Y45" i="6"/>
  <c r="Y68" i="6" s="1"/>
  <c r="Y79" i="6" s="1"/>
  <c r="X45" i="6"/>
  <c r="X68" i="6" s="1"/>
  <c r="X79" i="6" s="1"/>
  <c r="W45" i="6"/>
  <c r="W68" i="6" s="1"/>
  <c r="W79" i="6" s="1"/>
  <c r="V45" i="6"/>
  <c r="V68" i="6" s="1"/>
  <c r="V79" i="6" s="1"/>
  <c r="U45" i="6"/>
  <c r="U68" i="6" s="1"/>
  <c r="U79" i="6" s="1"/>
  <c r="T45" i="6"/>
  <c r="T68" i="6" s="1"/>
  <c r="T79" i="6" s="1"/>
  <c r="S45" i="6"/>
  <c r="S68" i="6" s="1"/>
  <c r="S79" i="6" s="1"/>
  <c r="R45" i="6"/>
  <c r="R68" i="6" s="1"/>
  <c r="R79" i="6" s="1"/>
  <c r="Q45" i="6"/>
  <c r="Q68" i="6" s="1"/>
  <c r="Q79" i="6" s="1"/>
  <c r="P45" i="6"/>
  <c r="P68" i="6" s="1"/>
  <c r="P79" i="6" s="1"/>
  <c r="O45" i="6"/>
  <c r="O68" i="6" s="1"/>
  <c r="O79" i="6" s="1"/>
  <c r="M45" i="6"/>
  <c r="M68" i="6" s="1"/>
  <c r="M79" i="6" s="1"/>
  <c r="L45" i="6"/>
  <c r="L68" i="6" s="1"/>
  <c r="L79" i="6" s="1"/>
  <c r="K45" i="6"/>
  <c r="K68" i="6" s="1"/>
  <c r="K79" i="6" s="1"/>
  <c r="J45" i="6"/>
  <c r="J68" i="6" s="1"/>
  <c r="J79" i="6" s="1"/>
  <c r="I45" i="6"/>
  <c r="I68" i="6" s="1"/>
  <c r="I79" i="6" s="1"/>
  <c r="H45" i="6"/>
  <c r="H68" i="6" s="1"/>
  <c r="H79" i="6" s="1"/>
  <c r="G45" i="6"/>
  <c r="G68" i="6" s="1"/>
  <c r="G79" i="6" s="1"/>
  <c r="F45" i="6"/>
  <c r="F68" i="6" s="1"/>
  <c r="F79" i="6" s="1"/>
  <c r="E45" i="6"/>
  <c r="E68" i="6" s="1"/>
  <c r="E79" i="6" s="1"/>
  <c r="D45" i="6"/>
  <c r="D68" i="6" s="1"/>
  <c r="D79" i="6" s="1"/>
  <c r="C45" i="6"/>
  <c r="C68" i="6" s="1"/>
  <c r="C79" i="6" s="1"/>
  <c r="B45" i="6"/>
  <c r="B68" i="6" s="1"/>
  <c r="B79" i="6" s="1"/>
  <c r="X54" i="6"/>
  <c r="X97" i="6" s="1"/>
  <c r="W54" i="6"/>
  <c r="W97" i="6" s="1"/>
  <c r="V54" i="6"/>
  <c r="U54" i="6"/>
  <c r="T54" i="6"/>
  <c r="T97" i="6" s="1"/>
  <c r="S54" i="6"/>
  <c r="S97" i="6" s="1"/>
  <c r="R54" i="6"/>
  <c r="R97" i="6" s="1"/>
  <c r="Q54" i="6"/>
  <c r="Q97" i="6" s="1"/>
  <c r="P54" i="6"/>
  <c r="P97" i="6" s="1"/>
  <c r="O54" i="6"/>
  <c r="O97" i="6" s="1"/>
  <c r="N54" i="6"/>
  <c r="N97" i="6" s="1"/>
  <c r="M54" i="6"/>
  <c r="M97" i="6" s="1"/>
  <c r="L54" i="6"/>
  <c r="L97" i="6" s="1"/>
  <c r="K54" i="6"/>
  <c r="K97" i="6" s="1"/>
  <c r="J54" i="6"/>
  <c r="J97" i="6" s="1"/>
  <c r="I54" i="6"/>
  <c r="I97" i="6" s="1"/>
  <c r="H54" i="6"/>
  <c r="H97" i="6" s="1"/>
  <c r="G54" i="6"/>
  <c r="G97" i="6" s="1"/>
  <c r="F54" i="6"/>
  <c r="F97" i="6" s="1"/>
  <c r="E54" i="6"/>
  <c r="D54" i="6"/>
  <c r="C54" i="6"/>
  <c r="B54" i="6"/>
  <c r="X53" i="6"/>
  <c r="W53" i="6"/>
  <c r="W95" i="6" s="1"/>
  <c r="V53" i="6"/>
  <c r="U53" i="6"/>
  <c r="T53" i="6"/>
  <c r="T95" i="6" s="1"/>
  <c r="S53" i="6"/>
  <c r="S95" i="6" s="1"/>
  <c r="R53" i="6"/>
  <c r="R95" i="6" s="1"/>
  <c r="Q53" i="6"/>
  <c r="Q95" i="6" s="1"/>
  <c r="P53" i="6"/>
  <c r="P95" i="6" s="1"/>
  <c r="O53" i="6"/>
  <c r="O95" i="6" s="1"/>
  <c r="N53" i="6"/>
  <c r="N95" i="6" s="1"/>
  <c r="M53" i="6"/>
  <c r="M95" i="6" s="1"/>
  <c r="L53" i="6"/>
  <c r="L95" i="6" s="1"/>
  <c r="K53" i="6"/>
  <c r="K95" i="6" s="1"/>
  <c r="J53" i="6"/>
  <c r="J95" i="6" s="1"/>
  <c r="I53" i="6"/>
  <c r="I95" i="6" s="1"/>
  <c r="H53" i="6"/>
  <c r="H95" i="6" s="1"/>
  <c r="G53" i="6"/>
  <c r="G95" i="6" s="1"/>
  <c r="F53" i="6"/>
  <c r="F95" i="6" s="1"/>
  <c r="E53" i="6"/>
  <c r="D53" i="6"/>
  <c r="C53" i="6"/>
  <c r="B53" i="6"/>
  <c r="X52" i="6"/>
  <c r="X96" i="6" s="1"/>
  <c r="W52" i="6"/>
  <c r="W96" i="6" s="1"/>
  <c r="V52" i="6"/>
  <c r="U52" i="6"/>
  <c r="T52" i="6"/>
  <c r="T96" i="6" s="1"/>
  <c r="S52" i="6"/>
  <c r="S96" i="6" s="1"/>
  <c r="R52" i="6"/>
  <c r="R96" i="6" s="1"/>
  <c r="Q52" i="6"/>
  <c r="Q96" i="6" s="1"/>
  <c r="P52" i="6"/>
  <c r="P96" i="6" s="1"/>
  <c r="O52" i="6"/>
  <c r="O96" i="6" s="1"/>
  <c r="N52" i="6"/>
  <c r="N96" i="6" s="1"/>
  <c r="M52" i="6"/>
  <c r="M96" i="6" s="1"/>
  <c r="L52" i="6"/>
  <c r="L96" i="6" s="1"/>
  <c r="K52" i="6"/>
  <c r="K96" i="6" s="1"/>
  <c r="J52" i="6"/>
  <c r="J96" i="6" s="1"/>
  <c r="I52" i="6"/>
  <c r="I96" i="6" s="1"/>
  <c r="H52" i="6"/>
  <c r="H96" i="6" s="1"/>
  <c r="G52" i="6"/>
  <c r="G96" i="6" s="1"/>
  <c r="F52" i="6"/>
  <c r="F96" i="6" s="1"/>
  <c r="E52" i="6"/>
  <c r="D52" i="6"/>
  <c r="C52" i="6"/>
  <c r="B52" i="6"/>
  <c r="Y62" i="6"/>
  <c r="Y57" i="6"/>
  <c r="X69" i="6"/>
  <c r="W69" i="6"/>
  <c r="V69" i="6"/>
  <c r="U69" i="6"/>
  <c r="T69" i="6"/>
  <c r="S69" i="6"/>
  <c r="R69" i="6"/>
  <c r="Q69" i="6"/>
  <c r="P69" i="6"/>
  <c r="O69" i="6"/>
  <c r="N69" i="6"/>
  <c r="M69" i="6"/>
  <c r="L69" i="6"/>
  <c r="K69" i="6"/>
  <c r="J69" i="6"/>
  <c r="I69" i="6"/>
  <c r="H69" i="6"/>
  <c r="G69" i="6"/>
  <c r="F69" i="6"/>
  <c r="E69" i="6"/>
  <c r="D69" i="6"/>
  <c r="C69" i="6"/>
  <c r="B69" i="6"/>
  <c r="D6" i="6"/>
  <c r="C6" i="6"/>
  <c r="Y67" i="4"/>
  <c r="X67" i="4"/>
  <c r="W67" i="4"/>
  <c r="V67" i="4"/>
  <c r="U67" i="4"/>
  <c r="T67" i="4"/>
  <c r="S67" i="4"/>
  <c r="R67" i="4"/>
  <c r="Q67" i="4"/>
  <c r="P67" i="4"/>
  <c r="O67" i="4"/>
  <c r="N67" i="4"/>
  <c r="M67" i="4"/>
  <c r="L67" i="4"/>
  <c r="K67" i="4"/>
  <c r="J67" i="4"/>
  <c r="I67" i="4"/>
  <c r="H67" i="4"/>
  <c r="G67" i="4"/>
  <c r="F67" i="4"/>
  <c r="E67" i="4"/>
  <c r="D67" i="4"/>
  <c r="C67" i="4"/>
  <c r="B67" i="4"/>
  <c r="Y74" i="4"/>
  <c r="X74" i="4"/>
  <c r="W74" i="4"/>
  <c r="V74" i="4"/>
  <c r="U74" i="4"/>
  <c r="T74" i="4"/>
  <c r="S74" i="4"/>
  <c r="R74" i="4"/>
  <c r="Q74" i="4"/>
  <c r="P74" i="4"/>
  <c r="O74" i="4"/>
  <c r="N74" i="4"/>
  <c r="M74" i="4"/>
  <c r="L74" i="4"/>
  <c r="K74" i="4"/>
  <c r="J74" i="4"/>
  <c r="I74" i="4"/>
  <c r="H74" i="4"/>
  <c r="G74" i="4"/>
  <c r="F74" i="4"/>
  <c r="Y66" i="4"/>
  <c r="X66" i="4"/>
  <c r="W66" i="4"/>
  <c r="V66" i="4"/>
  <c r="U66" i="4"/>
  <c r="T66" i="4"/>
  <c r="S66" i="4"/>
  <c r="R66" i="4"/>
  <c r="Q66" i="4"/>
  <c r="P66" i="4"/>
  <c r="O66" i="4"/>
  <c r="N66" i="4"/>
  <c r="M66" i="4"/>
  <c r="L66" i="4"/>
  <c r="K66" i="4"/>
  <c r="J66" i="4"/>
  <c r="I66" i="4"/>
  <c r="H66" i="4"/>
  <c r="G66" i="4"/>
  <c r="F66" i="4"/>
  <c r="E66" i="4"/>
  <c r="D66" i="4"/>
  <c r="C66" i="4"/>
  <c r="B66" i="4"/>
  <c r="Y72" i="4"/>
  <c r="X72" i="4"/>
  <c r="W72" i="4"/>
  <c r="V72" i="4"/>
  <c r="U72" i="4"/>
  <c r="T72" i="4"/>
  <c r="S72" i="4"/>
  <c r="R72" i="4"/>
  <c r="Q72" i="4"/>
  <c r="P72" i="4"/>
  <c r="O72" i="4"/>
  <c r="N72" i="4"/>
  <c r="M72" i="4"/>
  <c r="L72" i="4"/>
  <c r="K72" i="4"/>
  <c r="J72" i="4"/>
  <c r="I72" i="4"/>
  <c r="H72" i="4"/>
  <c r="G72" i="4"/>
  <c r="F72" i="4"/>
  <c r="Y62" i="4"/>
  <c r="X62" i="4"/>
  <c r="W62" i="4"/>
  <c r="V62" i="4"/>
  <c r="U62" i="4"/>
  <c r="T62" i="4"/>
  <c r="S62" i="4"/>
  <c r="R62" i="4"/>
  <c r="Q62" i="4"/>
  <c r="P62" i="4"/>
  <c r="O62" i="4"/>
  <c r="N62" i="4"/>
  <c r="M62" i="4"/>
  <c r="L62" i="4"/>
  <c r="K62" i="4"/>
  <c r="J62" i="4"/>
  <c r="I62" i="4"/>
  <c r="H62" i="4"/>
  <c r="G62" i="4"/>
  <c r="F62" i="4"/>
  <c r="E62" i="4"/>
  <c r="D62" i="4"/>
  <c r="C62" i="4"/>
  <c r="B62" i="4"/>
  <c r="Y46" i="4"/>
  <c r="AC47" i="4" s="1"/>
  <c r="X46" i="4"/>
  <c r="AB47" i="4" s="1"/>
  <c r="W46" i="4"/>
  <c r="AA47" i="4" s="1"/>
  <c r="V46" i="4"/>
  <c r="Z47" i="4" s="1"/>
  <c r="U46" i="4"/>
  <c r="T46" i="4"/>
  <c r="S46" i="4"/>
  <c r="R46" i="4"/>
  <c r="Q46" i="4"/>
  <c r="P46" i="4"/>
  <c r="O46" i="4"/>
  <c r="N46" i="4"/>
  <c r="M46" i="4"/>
  <c r="L46" i="4"/>
  <c r="K46" i="4"/>
  <c r="J46" i="4"/>
  <c r="I46" i="4"/>
  <c r="I47" i="4" s="1"/>
  <c r="H46" i="4"/>
  <c r="H47" i="4" s="1"/>
  <c r="G46" i="4"/>
  <c r="G47" i="4" s="1"/>
  <c r="F46" i="4"/>
  <c r="F47" i="4" s="1"/>
  <c r="Y60" i="4"/>
  <c r="X60" i="4"/>
  <c r="W60" i="4"/>
  <c r="V60" i="4"/>
  <c r="U60" i="4"/>
  <c r="T60" i="4"/>
  <c r="S60" i="4"/>
  <c r="R60" i="4"/>
  <c r="Q60" i="4"/>
  <c r="P60" i="4"/>
  <c r="O60" i="4"/>
  <c r="N60" i="4"/>
  <c r="M60" i="4"/>
  <c r="L60" i="4"/>
  <c r="K60" i="4"/>
  <c r="J60" i="4"/>
  <c r="I60" i="4"/>
  <c r="H60" i="4"/>
  <c r="G60" i="4"/>
  <c r="F60" i="4"/>
  <c r="Y45" i="4"/>
  <c r="X45" i="4"/>
  <c r="W45" i="4"/>
  <c r="V45" i="4"/>
  <c r="U45" i="4"/>
  <c r="T45" i="4"/>
  <c r="S45" i="4"/>
  <c r="R45" i="4"/>
  <c r="Q45" i="4"/>
  <c r="P45" i="4"/>
  <c r="O45" i="4"/>
  <c r="N45" i="4"/>
  <c r="M45" i="4"/>
  <c r="L45" i="4"/>
  <c r="K45" i="4"/>
  <c r="J45" i="4"/>
  <c r="Y58" i="4"/>
  <c r="X58" i="4"/>
  <c r="W58" i="4"/>
  <c r="V58" i="4"/>
  <c r="U58" i="4"/>
  <c r="T58" i="4"/>
  <c r="S58" i="4"/>
  <c r="R58" i="4"/>
  <c r="Q58" i="4"/>
  <c r="P58" i="4"/>
  <c r="O58" i="4"/>
  <c r="N58" i="4"/>
  <c r="M58" i="4"/>
  <c r="L58" i="4"/>
  <c r="K58" i="4"/>
  <c r="J58" i="4"/>
  <c r="I58" i="4"/>
  <c r="H58" i="4"/>
  <c r="G58" i="4"/>
  <c r="F58" i="4"/>
  <c r="E58" i="4"/>
  <c r="D58" i="4"/>
  <c r="C58" i="4"/>
  <c r="B58" i="4"/>
  <c r="Y71" i="4"/>
  <c r="X71" i="4"/>
  <c r="W71" i="4"/>
  <c r="V71" i="4"/>
  <c r="U71" i="4"/>
  <c r="T71" i="4"/>
  <c r="S71" i="4"/>
  <c r="R71" i="4"/>
  <c r="Q71" i="4"/>
  <c r="P71" i="4"/>
  <c r="O71" i="4"/>
  <c r="N71" i="4"/>
  <c r="M71" i="4"/>
  <c r="L71" i="4"/>
  <c r="K71" i="4"/>
  <c r="J71" i="4"/>
  <c r="I71" i="4"/>
  <c r="H71" i="4"/>
  <c r="G71" i="4"/>
  <c r="F71" i="4"/>
  <c r="E71" i="4"/>
  <c r="D71" i="4"/>
  <c r="C71" i="4"/>
  <c r="B71" i="4"/>
  <c r="Y56" i="4"/>
  <c r="X56" i="4"/>
  <c r="W56" i="4"/>
  <c r="V56" i="4"/>
  <c r="U56" i="4"/>
  <c r="T56" i="4"/>
  <c r="S56" i="4"/>
  <c r="R56" i="4"/>
  <c r="Q56" i="4"/>
  <c r="P56" i="4"/>
  <c r="O56" i="4"/>
  <c r="N56" i="4"/>
  <c r="M56" i="4"/>
  <c r="L56" i="4"/>
  <c r="K56" i="4"/>
  <c r="J56" i="4"/>
  <c r="I56" i="4"/>
  <c r="H56" i="4"/>
  <c r="G56" i="4"/>
  <c r="F56" i="4"/>
  <c r="Y43" i="4"/>
  <c r="X43" i="4"/>
  <c r="W43" i="4"/>
  <c r="V43" i="4"/>
  <c r="U43" i="4"/>
  <c r="T43" i="4"/>
  <c r="S43" i="4"/>
  <c r="R43" i="4"/>
  <c r="Q43" i="4"/>
  <c r="P43" i="4"/>
  <c r="O43" i="4"/>
  <c r="N43" i="4"/>
  <c r="M43" i="4"/>
  <c r="L43" i="4"/>
  <c r="K43" i="4"/>
  <c r="J43" i="4"/>
  <c r="J80" i="3"/>
  <c r="Y114" i="3"/>
  <c r="X114" i="3"/>
  <c r="W114" i="3"/>
  <c r="V114" i="3"/>
  <c r="U114" i="3"/>
  <c r="T114" i="3"/>
  <c r="S114" i="3"/>
  <c r="R114" i="3"/>
  <c r="Q114" i="3"/>
  <c r="P114" i="3"/>
  <c r="O114" i="3"/>
  <c r="N114" i="3"/>
  <c r="M114" i="3"/>
  <c r="L114" i="3"/>
  <c r="K114" i="3"/>
  <c r="J114" i="3"/>
  <c r="I114" i="3"/>
  <c r="H114" i="3"/>
  <c r="G114" i="3"/>
  <c r="F114" i="3"/>
  <c r="E114" i="3"/>
  <c r="D114" i="3"/>
  <c r="C114" i="3"/>
  <c r="B114" i="3"/>
  <c r="Y126" i="3"/>
  <c r="X126" i="3"/>
  <c r="W126" i="3"/>
  <c r="V126" i="3"/>
  <c r="U126" i="3"/>
  <c r="T126" i="3"/>
  <c r="S126" i="3"/>
  <c r="R126" i="3"/>
  <c r="Q126" i="3"/>
  <c r="P126" i="3"/>
  <c r="O126" i="3"/>
  <c r="N126" i="3"/>
  <c r="M126" i="3"/>
  <c r="L126" i="3"/>
  <c r="K126" i="3"/>
  <c r="J126" i="3"/>
  <c r="I126" i="3"/>
  <c r="H126" i="3"/>
  <c r="G126" i="3"/>
  <c r="F126" i="3"/>
  <c r="E126" i="3"/>
  <c r="D126" i="3"/>
  <c r="C126" i="3"/>
  <c r="B126" i="3"/>
  <c r="Y113" i="3"/>
  <c r="X113" i="3"/>
  <c r="W113" i="3"/>
  <c r="V113" i="3"/>
  <c r="U113" i="3"/>
  <c r="T113" i="3"/>
  <c r="S113" i="3"/>
  <c r="R113" i="3"/>
  <c r="Q113" i="3"/>
  <c r="P113" i="3"/>
  <c r="O113" i="3"/>
  <c r="N113" i="3"/>
  <c r="M113" i="3"/>
  <c r="L113" i="3"/>
  <c r="K113" i="3"/>
  <c r="J113" i="3"/>
  <c r="I113" i="3"/>
  <c r="H113" i="3"/>
  <c r="G113" i="3"/>
  <c r="F113" i="3"/>
  <c r="E113" i="3"/>
  <c r="D113" i="3"/>
  <c r="C113" i="3"/>
  <c r="B113" i="3"/>
  <c r="Y124" i="3"/>
  <c r="X124" i="3"/>
  <c r="W124" i="3"/>
  <c r="V124" i="3"/>
  <c r="U124" i="3"/>
  <c r="T124" i="3"/>
  <c r="S124" i="3"/>
  <c r="R124" i="3"/>
  <c r="Q124" i="3"/>
  <c r="P124" i="3"/>
  <c r="O124" i="3"/>
  <c r="N124" i="3"/>
  <c r="M124" i="3"/>
  <c r="L124" i="3"/>
  <c r="K124" i="3"/>
  <c r="J124" i="3"/>
  <c r="I124" i="3"/>
  <c r="H124" i="3"/>
  <c r="G124" i="3"/>
  <c r="F124" i="3"/>
  <c r="E124" i="3"/>
  <c r="D124" i="3"/>
  <c r="C124" i="3"/>
  <c r="B124" i="3"/>
  <c r="Y111" i="3"/>
  <c r="X111" i="3"/>
  <c r="W111" i="3"/>
  <c r="V111" i="3"/>
  <c r="U111" i="3"/>
  <c r="T111" i="3"/>
  <c r="S111" i="3"/>
  <c r="R111" i="3"/>
  <c r="Q111" i="3"/>
  <c r="P111" i="3"/>
  <c r="O111" i="3"/>
  <c r="N111" i="3"/>
  <c r="M111" i="3"/>
  <c r="L111" i="3"/>
  <c r="K111" i="3"/>
  <c r="J111" i="3"/>
  <c r="I111" i="3"/>
  <c r="H111" i="3"/>
  <c r="G111" i="3"/>
  <c r="F111" i="3"/>
  <c r="E111" i="3"/>
  <c r="D111" i="3"/>
  <c r="C111" i="3"/>
  <c r="B111" i="3"/>
  <c r="Y121" i="3"/>
  <c r="AE328" i="12" s="1"/>
  <c r="X121" i="3"/>
  <c r="AD328" i="12" s="1"/>
  <c r="W121" i="3"/>
  <c r="V121" i="3"/>
  <c r="U121" i="3"/>
  <c r="T121" i="3"/>
  <c r="S121" i="3"/>
  <c r="R121" i="3"/>
  <c r="Q121" i="3"/>
  <c r="P121" i="3"/>
  <c r="O121" i="3"/>
  <c r="N121" i="3"/>
  <c r="M121" i="3"/>
  <c r="L121" i="3"/>
  <c r="K121" i="3"/>
  <c r="J121" i="3"/>
  <c r="I121" i="3"/>
  <c r="H121" i="3"/>
  <c r="G121" i="3"/>
  <c r="F121" i="3"/>
  <c r="E121" i="3"/>
  <c r="D121" i="3"/>
  <c r="C121" i="3"/>
  <c r="B121" i="3"/>
  <c r="Y107" i="3"/>
  <c r="AC108" i="3" s="1"/>
  <c r="X107" i="3"/>
  <c r="AB108" i="3" s="1"/>
  <c r="W107" i="3"/>
  <c r="AA108" i="3" s="1"/>
  <c r="V107" i="3"/>
  <c r="Z108" i="3" s="1"/>
  <c r="U107" i="3"/>
  <c r="T107" i="3"/>
  <c r="S107" i="3"/>
  <c r="R107" i="3"/>
  <c r="Q107" i="3"/>
  <c r="P107" i="3"/>
  <c r="O107" i="3"/>
  <c r="N107" i="3"/>
  <c r="M107" i="3"/>
  <c r="L107" i="3"/>
  <c r="K107" i="3"/>
  <c r="J107" i="3"/>
  <c r="I107" i="3"/>
  <c r="H107" i="3"/>
  <c r="G107" i="3"/>
  <c r="F107" i="3"/>
  <c r="E107" i="3"/>
  <c r="D107" i="3"/>
  <c r="C107" i="3"/>
  <c r="B107" i="3"/>
  <c r="Y94" i="3"/>
  <c r="X94" i="3"/>
  <c r="W94" i="3"/>
  <c r="V94" i="3"/>
  <c r="U94" i="3"/>
  <c r="T94" i="3"/>
  <c r="S94" i="3"/>
  <c r="R94" i="3"/>
  <c r="Q94" i="3"/>
  <c r="P94" i="3"/>
  <c r="O94" i="3"/>
  <c r="N94" i="3"/>
  <c r="M94" i="3"/>
  <c r="L94" i="3"/>
  <c r="K94" i="3"/>
  <c r="J94" i="3"/>
  <c r="I94" i="3"/>
  <c r="H94" i="3"/>
  <c r="G94" i="3"/>
  <c r="F94" i="3"/>
  <c r="E94" i="3"/>
  <c r="D94" i="3"/>
  <c r="C94" i="3"/>
  <c r="B94" i="3"/>
  <c r="Y81" i="3"/>
  <c r="X81" i="3"/>
  <c r="W81" i="3"/>
  <c r="V81" i="3"/>
  <c r="U81" i="3"/>
  <c r="T81" i="3"/>
  <c r="S81" i="3"/>
  <c r="R81" i="3"/>
  <c r="Q81" i="3"/>
  <c r="P81" i="3"/>
  <c r="O81" i="3"/>
  <c r="N81" i="3"/>
  <c r="M81" i="3"/>
  <c r="L81" i="3"/>
  <c r="K81" i="3"/>
  <c r="J81" i="3"/>
  <c r="I81" i="3"/>
  <c r="H81" i="3"/>
  <c r="G81" i="3"/>
  <c r="F81" i="3"/>
  <c r="E81" i="3"/>
  <c r="D81" i="3"/>
  <c r="C81" i="3"/>
  <c r="B81" i="3"/>
  <c r="Y67" i="3"/>
  <c r="X67" i="3"/>
  <c r="W67" i="3"/>
  <c r="V67" i="3"/>
  <c r="U67" i="3"/>
  <c r="T67" i="3"/>
  <c r="S67" i="3"/>
  <c r="R67" i="3"/>
  <c r="Q67" i="3"/>
  <c r="P67" i="3"/>
  <c r="O67" i="3"/>
  <c r="N67" i="3"/>
  <c r="M67" i="3"/>
  <c r="L67" i="3"/>
  <c r="K67" i="3"/>
  <c r="J67" i="3"/>
  <c r="I67" i="3"/>
  <c r="H67" i="3"/>
  <c r="G67" i="3"/>
  <c r="F67" i="3"/>
  <c r="E67" i="3"/>
  <c r="D67" i="3"/>
  <c r="C67" i="3"/>
  <c r="B67" i="3"/>
  <c r="Y106" i="3"/>
  <c r="X106" i="3"/>
  <c r="W106" i="3"/>
  <c r="V106" i="3"/>
  <c r="U106" i="3"/>
  <c r="T106" i="3"/>
  <c r="S106" i="3"/>
  <c r="R106" i="3"/>
  <c r="Q106" i="3"/>
  <c r="P106" i="3"/>
  <c r="O106" i="3"/>
  <c r="N106" i="3"/>
  <c r="M106" i="3"/>
  <c r="L106" i="3"/>
  <c r="K106" i="3"/>
  <c r="J106" i="3"/>
  <c r="I106" i="3"/>
  <c r="H106" i="3"/>
  <c r="G106" i="3"/>
  <c r="F106" i="3"/>
  <c r="Y93" i="3"/>
  <c r="AE296" i="12" s="1"/>
  <c r="X93" i="3"/>
  <c r="AD296" i="12" s="1"/>
  <c r="W93" i="3"/>
  <c r="V93" i="3"/>
  <c r="AB296" i="12" s="1"/>
  <c r="U93" i="3"/>
  <c r="T93" i="3"/>
  <c r="S93" i="3"/>
  <c r="R93" i="3"/>
  <c r="Q93" i="3"/>
  <c r="P93" i="3"/>
  <c r="O93" i="3"/>
  <c r="N93" i="3"/>
  <c r="M93" i="3"/>
  <c r="L93" i="3"/>
  <c r="K93" i="3"/>
  <c r="J93" i="3"/>
  <c r="I93" i="3"/>
  <c r="H93" i="3"/>
  <c r="G93" i="3"/>
  <c r="F93" i="3"/>
  <c r="Y80" i="3"/>
  <c r="AE295" i="12" s="1"/>
  <c r="X80" i="3"/>
  <c r="AD295" i="12" s="1"/>
  <c r="W80" i="3"/>
  <c r="V80" i="3"/>
  <c r="AB295" i="12" s="1"/>
  <c r="U80" i="3"/>
  <c r="T80" i="3"/>
  <c r="S80" i="3"/>
  <c r="R80" i="3"/>
  <c r="Q80" i="3"/>
  <c r="P80" i="3"/>
  <c r="O80" i="3"/>
  <c r="N80" i="3"/>
  <c r="M80" i="3"/>
  <c r="L80" i="3"/>
  <c r="K80" i="3"/>
  <c r="I80" i="3"/>
  <c r="H80" i="3"/>
  <c r="G80" i="3"/>
  <c r="F80" i="3"/>
  <c r="Y66" i="3"/>
  <c r="AE294" i="12" s="1"/>
  <c r="X66" i="3"/>
  <c r="AD294" i="12" s="1"/>
  <c r="W66" i="3"/>
  <c r="AC294" i="12" s="1"/>
  <c r="V66" i="3"/>
  <c r="U66" i="3"/>
  <c r="T66" i="3"/>
  <c r="S66" i="3"/>
  <c r="R66" i="3"/>
  <c r="Q66" i="3"/>
  <c r="P66" i="3"/>
  <c r="O66" i="3"/>
  <c r="N66" i="3"/>
  <c r="M66" i="3"/>
  <c r="L66" i="3"/>
  <c r="K66" i="3"/>
  <c r="J66" i="3"/>
  <c r="I66" i="3"/>
  <c r="H66" i="3"/>
  <c r="G66" i="3"/>
  <c r="F66" i="3"/>
  <c r="Y110" i="3"/>
  <c r="X110" i="3"/>
  <c r="W110" i="3"/>
  <c r="V110" i="3"/>
  <c r="U110" i="3"/>
  <c r="T110" i="3"/>
  <c r="S110" i="3"/>
  <c r="R110" i="3"/>
  <c r="Q110" i="3"/>
  <c r="P110" i="3"/>
  <c r="O110" i="3"/>
  <c r="N110" i="3"/>
  <c r="M110" i="3"/>
  <c r="L110" i="3"/>
  <c r="K110" i="3"/>
  <c r="J110" i="3"/>
  <c r="I110" i="3"/>
  <c r="H110" i="3"/>
  <c r="G110" i="3"/>
  <c r="F110" i="3"/>
  <c r="E110" i="3"/>
  <c r="D110" i="3"/>
  <c r="C110" i="3"/>
  <c r="B110" i="3"/>
  <c r="Y118" i="3"/>
  <c r="AE275" i="12" s="1"/>
  <c r="X118" i="3"/>
  <c r="AD275" i="12" s="1"/>
  <c r="W118" i="3"/>
  <c r="V118" i="3"/>
  <c r="U118" i="3"/>
  <c r="T118" i="3"/>
  <c r="S118" i="3"/>
  <c r="R118" i="3"/>
  <c r="Q118" i="3"/>
  <c r="P118" i="3"/>
  <c r="O118" i="3"/>
  <c r="N118" i="3"/>
  <c r="M118" i="3"/>
  <c r="L118" i="3"/>
  <c r="K118" i="3"/>
  <c r="J118" i="3"/>
  <c r="I118" i="3"/>
  <c r="H118" i="3"/>
  <c r="G118" i="3"/>
  <c r="F118" i="3"/>
  <c r="E118" i="3"/>
  <c r="D118" i="3"/>
  <c r="C118" i="3"/>
  <c r="B118" i="3"/>
  <c r="Y91" i="3"/>
  <c r="AE290" i="12" s="1"/>
  <c r="X91" i="3"/>
  <c r="AD290" i="12" s="1"/>
  <c r="W91" i="3"/>
  <c r="V91" i="3"/>
  <c r="U91" i="3"/>
  <c r="T91" i="3"/>
  <c r="S91" i="3"/>
  <c r="R91" i="3"/>
  <c r="Q91" i="3"/>
  <c r="P91" i="3"/>
  <c r="O91" i="3"/>
  <c r="N91" i="3"/>
  <c r="M91" i="3"/>
  <c r="L91" i="3"/>
  <c r="K91" i="3"/>
  <c r="J91" i="3"/>
  <c r="I91" i="3"/>
  <c r="H91" i="3"/>
  <c r="G91" i="3"/>
  <c r="F91" i="3"/>
  <c r="Y78" i="3"/>
  <c r="AE289" i="12" s="1"/>
  <c r="X78" i="3"/>
  <c r="AD289" i="12" s="1"/>
  <c r="W78" i="3"/>
  <c r="AC289" i="12" s="1"/>
  <c r="V78" i="3"/>
  <c r="U78" i="3"/>
  <c r="T78" i="3"/>
  <c r="S78" i="3"/>
  <c r="R78" i="3"/>
  <c r="Q78" i="3"/>
  <c r="P78" i="3"/>
  <c r="O78" i="3"/>
  <c r="N78" i="3"/>
  <c r="M78" i="3"/>
  <c r="L78" i="3"/>
  <c r="K78" i="3"/>
  <c r="J78" i="3"/>
  <c r="I78" i="3"/>
  <c r="H78" i="3"/>
  <c r="G78" i="3"/>
  <c r="F78" i="3"/>
  <c r="Y64" i="3"/>
  <c r="AE288" i="12" s="1"/>
  <c r="X64" i="3"/>
  <c r="AD288" i="12" s="1"/>
  <c r="W64" i="3"/>
  <c r="AC288" i="12" s="1"/>
  <c r="V64" i="3"/>
  <c r="U64" i="3"/>
  <c r="T64" i="3"/>
  <c r="S64" i="3"/>
  <c r="R64" i="3"/>
  <c r="Q64" i="3"/>
  <c r="P64" i="3"/>
  <c r="O64" i="3"/>
  <c r="N64" i="3"/>
  <c r="M64" i="3"/>
  <c r="L64" i="3"/>
  <c r="K64" i="3"/>
  <c r="J64" i="3"/>
  <c r="I64" i="3"/>
  <c r="H64" i="3"/>
  <c r="G64" i="3"/>
  <c r="F64" i="3"/>
  <c r="Y28" i="2"/>
  <c r="AE247" i="12" s="1"/>
  <c r="X28" i="2"/>
  <c r="AD247" i="12" s="1"/>
  <c r="W28" i="2"/>
  <c r="V28" i="2"/>
  <c r="U28" i="2"/>
  <c r="T28" i="2"/>
  <c r="S28" i="2"/>
  <c r="R28" i="2"/>
  <c r="Q28" i="2"/>
  <c r="P28" i="2"/>
  <c r="O28" i="2"/>
  <c r="N28" i="2"/>
  <c r="M28" i="2"/>
  <c r="L28" i="2"/>
  <c r="K28" i="2"/>
  <c r="J28" i="2"/>
  <c r="I28" i="2"/>
  <c r="H28" i="2"/>
  <c r="G28" i="2"/>
  <c r="F28" i="2"/>
  <c r="E28" i="2"/>
  <c r="D28" i="2"/>
  <c r="C28" i="2"/>
  <c r="B28" i="2"/>
  <c r="Y27" i="2"/>
  <c r="X27" i="2"/>
  <c r="W27" i="2"/>
  <c r="V27" i="2"/>
  <c r="U27" i="2"/>
  <c r="T27" i="2"/>
  <c r="S27" i="2"/>
  <c r="R27" i="2"/>
  <c r="Q27" i="2"/>
  <c r="P27" i="2"/>
  <c r="O27" i="2"/>
  <c r="N27" i="2"/>
  <c r="M27" i="2"/>
  <c r="L27" i="2"/>
  <c r="K27" i="2"/>
  <c r="J27" i="2"/>
  <c r="I27" i="2"/>
  <c r="H27" i="2"/>
  <c r="G27" i="2"/>
  <c r="F27" i="2"/>
  <c r="Y24" i="2"/>
  <c r="AC25" i="2" s="1"/>
  <c r="X24" i="2"/>
  <c r="AB25" i="2" s="1"/>
  <c r="W24" i="2"/>
  <c r="AA25" i="2" s="1"/>
  <c r="V24" i="2"/>
  <c r="Z25" i="2" s="1"/>
  <c r="U24" i="2"/>
  <c r="T24" i="2"/>
  <c r="S24" i="2"/>
  <c r="R24" i="2"/>
  <c r="Q24" i="2"/>
  <c r="P24" i="2"/>
  <c r="O24" i="2"/>
  <c r="N24" i="2"/>
  <c r="M24" i="2"/>
  <c r="L24" i="2"/>
  <c r="K24" i="2"/>
  <c r="J24" i="2"/>
  <c r="I24" i="2"/>
  <c r="H24" i="2"/>
  <c r="G24" i="2"/>
  <c r="F24" i="2"/>
  <c r="E24" i="2"/>
  <c r="D24" i="2"/>
  <c r="C24" i="2"/>
  <c r="B24" i="2"/>
  <c r="Y21" i="2"/>
  <c r="X21" i="2"/>
  <c r="W21" i="2"/>
  <c r="V21" i="2"/>
  <c r="U21" i="2"/>
  <c r="T21" i="2"/>
  <c r="S21" i="2"/>
  <c r="R21" i="2"/>
  <c r="Q21" i="2"/>
  <c r="P21" i="2"/>
  <c r="O21" i="2"/>
  <c r="N21" i="2"/>
  <c r="M21" i="2"/>
  <c r="L21" i="2"/>
  <c r="K21" i="2"/>
  <c r="J21" i="2"/>
  <c r="I21" i="2"/>
  <c r="H21" i="2"/>
  <c r="G21" i="2"/>
  <c r="F21" i="2"/>
  <c r="E21" i="2"/>
  <c r="D21" i="2"/>
  <c r="C21" i="2"/>
  <c r="B21" i="2"/>
  <c r="Y19" i="2"/>
  <c r="X19" i="2"/>
  <c r="W19" i="2"/>
  <c r="V19" i="2"/>
  <c r="U19" i="2"/>
  <c r="T19" i="2"/>
  <c r="S19" i="2"/>
  <c r="R19" i="2"/>
  <c r="Q19" i="2"/>
  <c r="P19" i="2"/>
  <c r="O19" i="2"/>
  <c r="N19" i="2"/>
  <c r="M19" i="2"/>
  <c r="L19" i="2"/>
  <c r="K19" i="2"/>
  <c r="J19" i="2"/>
  <c r="I19" i="2"/>
  <c r="H19" i="2"/>
  <c r="G19" i="2"/>
  <c r="F19" i="2"/>
  <c r="E19" i="2"/>
  <c r="D19" i="2"/>
  <c r="C19" i="2"/>
  <c r="Y18" i="2"/>
  <c r="AE229" i="12" s="1"/>
  <c r="X18" i="2"/>
  <c r="W18" i="2"/>
  <c r="AC229" i="12" s="1"/>
  <c r="V18" i="2"/>
  <c r="U18" i="2"/>
  <c r="T18" i="2"/>
  <c r="S18" i="2"/>
  <c r="R18" i="2"/>
  <c r="Q18" i="2"/>
  <c r="P18" i="2"/>
  <c r="O18" i="2"/>
  <c r="N18" i="2"/>
  <c r="M18" i="2"/>
  <c r="L18" i="2"/>
  <c r="K18" i="2"/>
  <c r="J18" i="2"/>
  <c r="I18" i="2"/>
  <c r="H18" i="2"/>
  <c r="G18" i="2"/>
  <c r="F18" i="2"/>
  <c r="Y16" i="2"/>
  <c r="X16" i="2"/>
  <c r="W16" i="2"/>
  <c r="V16" i="2"/>
  <c r="U16" i="2"/>
  <c r="T16" i="2"/>
  <c r="S16" i="2"/>
  <c r="R16" i="2"/>
  <c r="Q16" i="2"/>
  <c r="P16" i="2"/>
  <c r="O16" i="2"/>
  <c r="N16" i="2"/>
  <c r="M16" i="2"/>
  <c r="L16" i="2"/>
  <c r="K16" i="2"/>
  <c r="J16" i="2"/>
  <c r="I16" i="2"/>
  <c r="H16" i="2"/>
  <c r="G16" i="2"/>
  <c r="F16" i="2"/>
  <c r="E16" i="2"/>
  <c r="D16" i="2"/>
  <c r="C16" i="2"/>
  <c r="Y15" i="2"/>
  <c r="X15" i="2"/>
  <c r="W15" i="2"/>
  <c r="V15" i="2"/>
  <c r="U15" i="2"/>
  <c r="T15" i="2"/>
  <c r="S15" i="2"/>
  <c r="R15" i="2"/>
  <c r="Q15" i="2"/>
  <c r="P15" i="2"/>
  <c r="O15" i="2"/>
  <c r="N15" i="2"/>
  <c r="M15" i="2"/>
  <c r="L15" i="2"/>
  <c r="K15" i="2"/>
  <c r="J15" i="2"/>
  <c r="I15" i="2"/>
  <c r="H15" i="2"/>
  <c r="G15" i="2"/>
  <c r="F15" i="2"/>
  <c r="Y13" i="2"/>
  <c r="X13" i="2"/>
  <c r="W13" i="2"/>
  <c r="V13" i="2"/>
  <c r="U13" i="2"/>
  <c r="T13" i="2"/>
  <c r="S13" i="2"/>
  <c r="R13" i="2"/>
  <c r="Q13" i="2"/>
  <c r="P13" i="2"/>
  <c r="O13" i="2"/>
  <c r="N13" i="2"/>
  <c r="M13" i="2"/>
  <c r="L13" i="2"/>
  <c r="K13" i="2"/>
  <c r="J13" i="2"/>
  <c r="I13" i="2"/>
  <c r="H13" i="2"/>
  <c r="G13" i="2"/>
  <c r="F13" i="2"/>
  <c r="E13" i="2"/>
  <c r="D13" i="2"/>
  <c r="C13" i="2"/>
  <c r="B13" i="2"/>
  <c r="AD166" i="12" l="1"/>
  <c r="AB186" i="12"/>
  <c r="AB229" i="12"/>
  <c r="AC247" i="12"/>
  <c r="AC290" i="12"/>
  <c r="AB166" i="12"/>
  <c r="AB106" i="12"/>
  <c r="AC166" i="12"/>
  <c r="AC106" i="12"/>
  <c r="AB247" i="12"/>
  <c r="AB328" i="12"/>
  <c r="AC275" i="12"/>
  <c r="AB288" i="12"/>
  <c r="AB289" i="12"/>
  <c r="AB290" i="12"/>
  <c r="AB294" i="12"/>
  <c r="AC295" i="12"/>
  <c r="AC296" i="12"/>
  <c r="AB275" i="12"/>
  <c r="AC328" i="12"/>
  <c r="AD229" i="12"/>
  <c r="Z64" i="4"/>
  <c r="AB447" i="12"/>
  <c r="AA64" i="4"/>
  <c r="AC447" i="12"/>
  <c r="AB64" i="4"/>
  <c r="AD447" i="12"/>
  <c r="AC64" i="4"/>
  <c r="AE447" i="12"/>
  <c r="AC68" i="3"/>
  <c r="AE306" i="12"/>
  <c r="AC82" i="3"/>
  <c r="AE307" i="12"/>
  <c r="AC95" i="3"/>
  <c r="AE308" i="12"/>
  <c r="AB82" i="3"/>
  <c r="AD307" i="12"/>
  <c r="AB95" i="3"/>
  <c r="AD308" i="12"/>
  <c r="Z68" i="3"/>
  <c r="AB306" i="12"/>
  <c r="Z82" i="3"/>
  <c r="AB307" i="12"/>
  <c r="Z95" i="3"/>
  <c r="AB308" i="12"/>
  <c r="AB68" i="3"/>
  <c r="AD306" i="12"/>
  <c r="AA68" i="3"/>
  <c r="AC306" i="12"/>
  <c r="AA82" i="3"/>
  <c r="AC307" i="12"/>
  <c r="AA95" i="3"/>
  <c r="AC308" i="12"/>
  <c r="AB22" i="2"/>
  <c r="AD234" i="12"/>
  <c r="AC22" i="2"/>
  <c r="AI235" i="12" s="1"/>
  <c r="AE234" i="12"/>
  <c r="AA22" i="2"/>
  <c r="AG235" i="12" s="1"/>
  <c r="AC234" i="12"/>
  <c r="Z22" i="2"/>
  <c r="AB234" i="12"/>
  <c r="Y74" i="7"/>
  <c r="AB73" i="7"/>
  <c r="Y63" i="6"/>
  <c r="X95" i="6"/>
  <c r="Z58" i="6"/>
  <c r="V96" i="6"/>
  <c r="Y60" i="6"/>
  <c r="U97" i="6"/>
  <c r="Y59" i="6"/>
  <c r="U95" i="6"/>
  <c r="Z60" i="6"/>
  <c r="V97" i="6"/>
  <c r="Y58" i="6"/>
  <c r="U96" i="6"/>
  <c r="Z59" i="6"/>
  <c r="V95" i="6"/>
  <c r="Y64" i="4"/>
  <c r="K96" i="5"/>
  <c r="R68" i="3"/>
  <c r="I68" i="3"/>
  <c r="M68" i="3"/>
  <c r="Q68" i="3"/>
  <c r="I82" i="3"/>
  <c r="M82" i="3"/>
  <c r="Q82" i="3"/>
  <c r="I95" i="3"/>
  <c r="M95" i="3"/>
  <c r="Q95" i="3"/>
  <c r="Y95" i="3"/>
  <c r="I108" i="3"/>
  <c r="M108" i="3"/>
  <c r="Q108" i="3"/>
  <c r="F68" i="3"/>
  <c r="J68" i="3"/>
  <c r="N68" i="3"/>
  <c r="V68" i="3"/>
  <c r="F82" i="3"/>
  <c r="J82" i="3"/>
  <c r="N82" i="3"/>
  <c r="R82" i="3"/>
  <c r="F95" i="3"/>
  <c r="J95" i="3"/>
  <c r="N95" i="3"/>
  <c r="R95" i="3"/>
  <c r="F108" i="3"/>
  <c r="J108" i="3"/>
  <c r="N108" i="3"/>
  <c r="R108" i="3"/>
  <c r="G68" i="3"/>
  <c r="K68" i="3"/>
  <c r="O68" i="3"/>
  <c r="G82" i="3"/>
  <c r="K82" i="3"/>
  <c r="O82" i="3"/>
  <c r="G95" i="3"/>
  <c r="K95" i="3"/>
  <c r="O95" i="3"/>
  <c r="G108" i="3"/>
  <c r="K108" i="3"/>
  <c r="O108" i="3"/>
  <c r="S108" i="3"/>
  <c r="H68" i="3"/>
  <c r="L68" i="3"/>
  <c r="P68" i="3"/>
  <c r="H82" i="3"/>
  <c r="L82" i="3"/>
  <c r="P82" i="3"/>
  <c r="H95" i="3"/>
  <c r="L95" i="3"/>
  <c r="P95" i="3"/>
  <c r="H108" i="3"/>
  <c r="L108" i="3"/>
  <c r="P108" i="3"/>
  <c r="T108" i="3"/>
  <c r="U108" i="3"/>
  <c r="V108" i="3"/>
  <c r="W108" i="3"/>
  <c r="S95" i="3"/>
  <c r="T95" i="3"/>
  <c r="U95" i="3"/>
  <c r="S82" i="3"/>
  <c r="T82" i="3"/>
  <c r="U82" i="3"/>
  <c r="S68" i="3"/>
  <c r="T68" i="3"/>
  <c r="U68" i="3"/>
  <c r="V95" i="3"/>
  <c r="W95" i="3"/>
  <c r="V82" i="3"/>
  <c r="W82" i="3"/>
  <c r="W68" i="3"/>
  <c r="X91" i="5"/>
  <c r="P96" i="5"/>
  <c r="P80" i="5"/>
  <c r="U80" i="5"/>
  <c r="L96" i="5"/>
  <c r="T96" i="5"/>
  <c r="J74" i="7"/>
  <c r="N74" i="7"/>
  <c r="R74" i="7"/>
  <c r="V74" i="7"/>
  <c r="N37" i="7"/>
  <c r="L61" i="7"/>
  <c r="J37" i="7"/>
  <c r="N60" i="7"/>
  <c r="R60" i="7"/>
  <c r="K73" i="7"/>
  <c r="S73" i="7"/>
  <c r="P61" i="7"/>
  <c r="R37" i="7"/>
  <c r="V37" i="7"/>
  <c r="W73" i="7"/>
  <c r="M60" i="7"/>
  <c r="Q60" i="7"/>
  <c r="T61" i="7"/>
  <c r="X61" i="7"/>
  <c r="H37" i="7"/>
  <c r="L37" i="7"/>
  <c r="P37" i="7"/>
  <c r="T37" i="7"/>
  <c r="X37" i="7"/>
  <c r="J73" i="7"/>
  <c r="N73" i="7"/>
  <c r="R73" i="7"/>
  <c r="V73" i="7"/>
  <c r="V60" i="7"/>
  <c r="Q61" i="7"/>
  <c r="G73" i="7"/>
  <c r="O73" i="7"/>
  <c r="O60" i="7"/>
  <c r="S60" i="7"/>
  <c r="N61" i="7"/>
  <c r="R61" i="7"/>
  <c r="V61" i="7"/>
  <c r="H74" i="7"/>
  <c r="L74" i="7"/>
  <c r="P74" i="7"/>
  <c r="T74" i="7"/>
  <c r="X74" i="7"/>
  <c r="M61" i="7"/>
  <c r="L60" i="7"/>
  <c r="P60" i="7"/>
  <c r="T60" i="7"/>
  <c r="O61" i="7"/>
  <c r="S61" i="7"/>
  <c r="G37" i="7"/>
  <c r="K37" i="7"/>
  <c r="O37" i="7"/>
  <c r="S37" i="7"/>
  <c r="W37" i="7"/>
  <c r="I37" i="7"/>
  <c r="M37" i="7"/>
  <c r="Q37" i="7"/>
  <c r="U37" i="7"/>
  <c r="X60" i="7"/>
  <c r="W61" i="7"/>
  <c r="W60" i="7"/>
  <c r="F62" i="6"/>
  <c r="V62" i="6"/>
  <c r="D62" i="6"/>
  <c r="H62" i="6"/>
  <c r="L62" i="6"/>
  <c r="P62" i="6"/>
  <c r="T62" i="6"/>
  <c r="X62" i="6"/>
  <c r="D63" i="6"/>
  <c r="H63" i="6"/>
  <c r="L63" i="6"/>
  <c r="P63" i="6"/>
  <c r="T63" i="6"/>
  <c r="X63" i="6"/>
  <c r="I57" i="6"/>
  <c r="U58" i="6"/>
  <c r="Q59" i="6"/>
  <c r="I60" i="6"/>
  <c r="M60" i="6"/>
  <c r="I58" i="6"/>
  <c r="Q58" i="6"/>
  <c r="Q60" i="6"/>
  <c r="J62" i="6"/>
  <c r="U57" i="6"/>
  <c r="M58" i="6"/>
  <c r="M59" i="6"/>
  <c r="U60" i="6"/>
  <c r="R62" i="6"/>
  <c r="H58" i="6"/>
  <c r="T58" i="6"/>
  <c r="H60" i="6"/>
  <c r="P60" i="6"/>
  <c r="P58" i="6"/>
  <c r="L60" i="6"/>
  <c r="X60" i="6"/>
  <c r="C62" i="6"/>
  <c r="K57" i="6"/>
  <c r="O57" i="6"/>
  <c r="S57" i="6"/>
  <c r="W57" i="6"/>
  <c r="G58" i="6"/>
  <c r="K58" i="6"/>
  <c r="O58" i="6"/>
  <c r="S58" i="6"/>
  <c r="W58" i="6"/>
  <c r="C63" i="6"/>
  <c r="G59" i="6"/>
  <c r="K59" i="6"/>
  <c r="O59" i="6"/>
  <c r="S59" i="6"/>
  <c r="W59" i="6"/>
  <c r="G60" i="6"/>
  <c r="K60" i="6"/>
  <c r="O60" i="6"/>
  <c r="S60" i="6"/>
  <c r="W60" i="6"/>
  <c r="L58" i="6"/>
  <c r="X58" i="6"/>
  <c r="E62" i="6"/>
  <c r="I62" i="6"/>
  <c r="M62" i="6"/>
  <c r="Q62" i="6"/>
  <c r="U62" i="6"/>
  <c r="E63" i="6"/>
  <c r="I63" i="6"/>
  <c r="M63" i="6"/>
  <c r="Q63" i="6"/>
  <c r="U63" i="6"/>
  <c r="M57" i="6"/>
  <c r="U59" i="6"/>
  <c r="T60" i="6"/>
  <c r="F57" i="6"/>
  <c r="J57" i="6"/>
  <c r="N57" i="6"/>
  <c r="R57" i="6"/>
  <c r="V57" i="6"/>
  <c r="F58" i="6"/>
  <c r="J58" i="6"/>
  <c r="N58" i="6"/>
  <c r="R58" i="6"/>
  <c r="V58" i="6"/>
  <c r="F59" i="6"/>
  <c r="J59" i="6"/>
  <c r="N59" i="6"/>
  <c r="R59" i="6"/>
  <c r="V59" i="6"/>
  <c r="F60" i="6"/>
  <c r="J60" i="6"/>
  <c r="N60" i="6"/>
  <c r="R60" i="6"/>
  <c r="V60" i="6"/>
  <c r="Q57" i="6"/>
  <c r="I59" i="6"/>
  <c r="N62" i="6"/>
  <c r="Y47" i="4"/>
  <c r="I64" i="4"/>
  <c r="Q64" i="4"/>
  <c r="K47" i="4"/>
  <c r="O47" i="4"/>
  <c r="S47" i="4"/>
  <c r="W47" i="4"/>
  <c r="G64" i="4"/>
  <c r="K64" i="4"/>
  <c r="O64" i="4"/>
  <c r="S64" i="4"/>
  <c r="W64" i="4"/>
  <c r="M47" i="4"/>
  <c r="U47" i="4"/>
  <c r="M64" i="4"/>
  <c r="U64" i="4"/>
  <c r="L47" i="4"/>
  <c r="P47" i="4"/>
  <c r="T47" i="4"/>
  <c r="X47" i="4"/>
  <c r="H64" i="4"/>
  <c r="L64" i="4"/>
  <c r="P64" i="4"/>
  <c r="T64" i="4"/>
  <c r="X64" i="4"/>
  <c r="Q47" i="4"/>
  <c r="J47" i="4"/>
  <c r="N47" i="4"/>
  <c r="R47" i="4"/>
  <c r="V47" i="4"/>
  <c r="F64" i="4"/>
  <c r="J64" i="4"/>
  <c r="N64" i="4"/>
  <c r="R64" i="4"/>
  <c r="V64" i="4"/>
  <c r="X108" i="3"/>
  <c r="Y108" i="3"/>
  <c r="X95" i="3"/>
  <c r="X82" i="3"/>
  <c r="Y82" i="3"/>
  <c r="X68" i="3"/>
  <c r="Y68" i="3"/>
  <c r="P22" i="2"/>
  <c r="H25" i="2"/>
  <c r="Y22" i="2"/>
  <c r="H22" i="2"/>
  <c r="L22" i="2"/>
  <c r="T22" i="2"/>
  <c r="X22" i="2"/>
  <c r="L25" i="2"/>
  <c r="T25" i="2"/>
  <c r="M25" i="2"/>
  <c r="U25" i="2"/>
  <c r="G22" i="2"/>
  <c r="K22" i="2"/>
  <c r="O22" i="2"/>
  <c r="S22" i="2"/>
  <c r="W22" i="2"/>
  <c r="G25" i="2"/>
  <c r="K25" i="2"/>
  <c r="O25" i="2"/>
  <c r="S25" i="2"/>
  <c r="W25" i="2"/>
  <c r="P25" i="2"/>
  <c r="X25" i="2"/>
  <c r="I22" i="2"/>
  <c r="M22" i="2"/>
  <c r="Q22" i="2"/>
  <c r="U22" i="2"/>
  <c r="I25" i="2"/>
  <c r="Q25" i="2"/>
  <c r="Y25" i="2"/>
  <c r="F22" i="2"/>
  <c r="J22" i="2"/>
  <c r="N22" i="2"/>
  <c r="R22" i="2"/>
  <c r="V22" i="2"/>
  <c r="F25" i="2"/>
  <c r="J25" i="2"/>
  <c r="N25" i="2"/>
  <c r="R25" i="2"/>
  <c r="V25" i="2"/>
  <c r="O96" i="5"/>
  <c r="S96" i="5"/>
  <c r="W96" i="5"/>
  <c r="N96" i="5"/>
  <c r="R96" i="5"/>
  <c r="V91" i="5"/>
  <c r="M96" i="5"/>
  <c r="Q96" i="5"/>
  <c r="U96" i="5"/>
  <c r="J80" i="5"/>
  <c r="V80" i="5"/>
  <c r="U60" i="7"/>
  <c r="H73" i="7"/>
  <c r="L73" i="7"/>
  <c r="P73" i="7"/>
  <c r="T73" i="7"/>
  <c r="X73" i="7"/>
  <c r="I74" i="7"/>
  <c r="M74" i="7"/>
  <c r="Q74" i="7"/>
  <c r="U74" i="7"/>
  <c r="U61" i="7"/>
  <c r="G74" i="7"/>
  <c r="K74" i="7"/>
  <c r="O74" i="7"/>
  <c r="S74" i="7"/>
  <c r="W74" i="7"/>
  <c r="I73" i="7"/>
  <c r="M73" i="7"/>
  <c r="Q73" i="7"/>
  <c r="U73" i="7"/>
  <c r="O63" i="6"/>
  <c r="H57" i="6"/>
  <c r="L57" i="6"/>
  <c r="P57" i="6"/>
  <c r="T57" i="6"/>
  <c r="X57" i="6"/>
  <c r="H59" i="6"/>
  <c r="L59" i="6"/>
  <c r="P59" i="6"/>
  <c r="T59" i="6"/>
  <c r="X59" i="6"/>
  <c r="F63" i="6"/>
  <c r="J63" i="6"/>
  <c r="N63" i="6"/>
  <c r="R63" i="6"/>
  <c r="V63" i="6"/>
  <c r="G63" i="6"/>
  <c r="K63" i="6"/>
  <c r="W63" i="6"/>
  <c r="G62" i="6"/>
  <c r="K62" i="6"/>
  <c r="O62" i="6"/>
  <c r="S62" i="6"/>
  <c r="W62" i="6"/>
  <c r="S63" i="6"/>
  <c r="AD235" i="12" l="1"/>
  <c r="AB235" i="12"/>
  <c r="AF235" i="12"/>
  <c r="AC235" i="12"/>
  <c r="AH235" i="12"/>
  <c r="AE235" i="12"/>
  <c r="AB96" i="5"/>
  <c r="V96" i="5"/>
  <c r="L80" i="5"/>
  <c r="T80" i="5"/>
  <c r="K80" i="5"/>
  <c r="M80" i="5"/>
  <c r="O80" i="5"/>
  <c r="S80" i="5"/>
  <c r="W80" i="5"/>
  <c r="Q80" i="5"/>
  <c r="R80" i="5"/>
  <c r="N80" i="5"/>
  <c r="V33" i="1" l="1"/>
  <c r="D33" i="1"/>
  <c r="F33" i="1"/>
  <c r="H33" i="1"/>
  <c r="J33" i="1"/>
  <c r="L33" i="1"/>
  <c r="N33" i="1"/>
  <c r="P33" i="1"/>
  <c r="D31" i="1"/>
  <c r="E31" i="1"/>
  <c r="F31" i="1"/>
  <c r="G31" i="1"/>
  <c r="H31" i="1"/>
  <c r="J31" i="1"/>
  <c r="L31" i="1"/>
  <c r="M31" i="1"/>
  <c r="N31" i="1"/>
  <c r="O31" i="1"/>
  <c r="P31" i="1"/>
  <c r="R31" i="1"/>
  <c r="T31" i="1"/>
  <c r="U31" i="1"/>
  <c r="V31" i="1"/>
  <c r="W31" i="1"/>
  <c r="X31" i="1"/>
  <c r="C31" i="1"/>
  <c r="I31" i="1"/>
  <c r="K31" i="1"/>
  <c r="Q31" i="1"/>
  <c r="S31" i="1"/>
  <c r="Y31" i="1"/>
  <c r="C32" i="1"/>
  <c r="D32" i="1"/>
  <c r="E32" i="1"/>
  <c r="F32" i="1"/>
  <c r="G32" i="1"/>
  <c r="H32" i="1"/>
  <c r="I32" i="1"/>
  <c r="J32" i="1"/>
  <c r="K32" i="1"/>
  <c r="L32" i="1"/>
  <c r="M32" i="1"/>
  <c r="N32" i="1"/>
  <c r="O32" i="1"/>
  <c r="P32" i="1"/>
  <c r="Q32" i="1"/>
  <c r="R32" i="1"/>
  <c r="S32" i="1"/>
  <c r="T32" i="1"/>
  <c r="U32" i="1"/>
  <c r="V32" i="1"/>
  <c r="W32" i="1"/>
  <c r="X32" i="1"/>
  <c r="Y32" i="1"/>
  <c r="C33" i="1"/>
  <c r="E33" i="1"/>
  <c r="G33" i="1"/>
  <c r="I33" i="1"/>
  <c r="K33" i="1"/>
  <c r="M33" i="1"/>
  <c r="O33" i="1"/>
  <c r="Q33" i="1"/>
  <c r="R33" i="1"/>
  <c r="S33" i="1"/>
  <c r="T33" i="1"/>
  <c r="U33" i="1"/>
  <c r="W33" i="1"/>
  <c r="X33" i="1"/>
  <c r="Y33" i="1"/>
  <c r="C34" i="1"/>
  <c r="D34" i="1"/>
  <c r="E34" i="1"/>
  <c r="F34" i="1"/>
  <c r="G34" i="1"/>
  <c r="H34" i="1"/>
  <c r="I34" i="1"/>
  <c r="J34" i="1"/>
  <c r="K34" i="1"/>
  <c r="L34" i="1"/>
  <c r="M34" i="1"/>
  <c r="N34" i="1"/>
  <c r="O34" i="1"/>
  <c r="P34" i="1"/>
  <c r="Q34" i="1"/>
  <c r="R34" i="1"/>
  <c r="S34" i="1"/>
  <c r="T34" i="1"/>
  <c r="U34" i="1"/>
  <c r="V34" i="1"/>
  <c r="W34" i="1"/>
  <c r="X34" i="1"/>
  <c r="Y34" i="1"/>
  <c r="C35" i="1"/>
  <c r="D35" i="1"/>
  <c r="E35" i="1"/>
  <c r="F35" i="1"/>
  <c r="G35" i="1"/>
  <c r="H35" i="1"/>
  <c r="I35" i="1"/>
  <c r="J35" i="1"/>
  <c r="K35" i="1"/>
  <c r="L35" i="1"/>
  <c r="M35" i="1"/>
  <c r="N35" i="1"/>
  <c r="O35" i="1"/>
  <c r="P35" i="1"/>
  <c r="Q35" i="1"/>
  <c r="R35" i="1"/>
  <c r="S35" i="1"/>
  <c r="T35" i="1"/>
  <c r="U35" i="1"/>
  <c r="V35" i="1"/>
  <c r="W35" i="1"/>
  <c r="X35" i="1"/>
  <c r="Y35" i="1"/>
  <c r="C36" i="1"/>
  <c r="D36" i="1"/>
  <c r="E36" i="1"/>
  <c r="F36" i="1"/>
  <c r="G36" i="1"/>
  <c r="H36" i="1"/>
  <c r="I36" i="1"/>
  <c r="J36" i="1"/>
  <c r="K36" i="1"/>
  <c r="L36" i="1"/>
  <c r="M36" i="1"/>
  <c r="N36" i="1"/>
  <c r="O36" i="1"/>
  <c r="P36" i="1"/>
  <c r="Q36" i="1"/>
  <c r="R36" i="1"/>
  <c r="S36" i="1"/>
  <c r="T36" i="1"/>
  <c r="U36" i="1"/>
  <c r="V36" i="1"/>
  <c r="W36" i="1"/>
  <c r="X36" i="1"/>
  <c r="Y36" i="1"/>
  <c r="B36" i="1"/>
  <c r="B35" i="1"/>
  <c r="B34" i="1"/>
  <c r="B33" i="1"/>
  <c r="B32" i="1"/>
  <c r="B31" i="1"/>
  <c r="C16" i="1"/>
  <c r="D16" i="1"/>
  <c r="E16" i="1"/>
  <c r="F16" i="1"/>
  <c r="G16" i="1"/>
  <c r="H16" i="1"/>
  <c r="I16" i="1"/>
  <c r="J16" i="1"/>
  <c r="K16" i="1"/>
  <c r="L16" i="1"/>
  <c r="M16" i="1"/>
  <c r="N16" i="1"/>
  <c r="O16" i="1"/>
  <c r="P16" i="1"/>
  <c r="Q16" i="1"/>
  <c r="R16" i="1"/>
  <c r="S16" i="1"/>
  <c r="T16" i="1"/>
  <c r="U16" i="1"/>
  <c r="V16" i="1"/>
  <c r="C17" i="1"/>
  <c r="D17" i="1"/>
  <c r="E17" i="1"/>
  <c r="F17" i="1"/>
  <c r="G17" i="1"/>
  <c r="H17" i="1"/>
  <c r="I17" i="1"/>
  <c r="J17" i="1"/>
  <c r="K17" i="1"/>
  <c r="L17" i="1"/>
  <c r="M17" i="1"/>
  <c r="N17" i="1"/>
  <c r="O17" i="1"/>
  <c r="P17" i="1"/>
  <c r="Q17" i="1"/>
  <c r="R17" i="1"/>
  <c r="S17" i="1"/>
  <c r="T17" i="1"/>
  <c r="U17" i="1"/>
  <c r="V17" i="1"/>
  <c r="W17" i="1"/>
  <c r="X17" i="1"/>
  <c r="Y17" i="1"/>
  <c r="C18" i="1"/>
  <c r="D18" i="1"/>
  <c r="E18" i="1"/>
  <c r="F18" i="1"/>
  <c r="G18" i="1"/>
  <c r="H18" i="1"/>
  <c r="I18" i="1"/>
  <c r="J18" i="1"/>
  <c r="K18" i="1"/>
  <c r="L18" i="1"/>
  <c r="M18" i="1"/>
  <c r="N18" i="1"/>
  <c r="O18" i="1"/>
  <c r="P18" i="1"/>
  <c r="Q18" i="1"/>
  <c r="R18" i="1"/>
  <c r="S18" i="1"/>
  <c r="T18" i="1"/>
  <c r="U18" i="1"/>
  <c r="V18" i="1"/>
  <c r="W18" i="1"/>
  <c r="X18" i="1"/>
  <c r="Y18" i="1"/>
  <c r="C19" i="1"/>
  <c r="D19" i="1"/>
  <c r="E19" i="1"/>
  <c r="F19" i="1"/>
  <c r="G19" i="1"/>
  <c r="H19" i="1"/>
  <c r="I19" i="1"/>
  <c r="J19" i="1"/>
  <c r="K19" i="1"/>
  <c r="L19" i="1"/>
  <c r="M19" i="1"/>
  <c r="N19" i="1"/>
  <c r="O19" i="1"/>
  <c r="P19" i="1"/>
  <c r="Q19" i="1"/>
  <c r="R19" i="1"/>
  <c r="S19" i="1"/>
  <c r="T19" i="1"/>
  <c r="U19" i="1"/>
  <c r="V19" i="1"/>
  <c r="W19" i="1"/>
  <c r="X19" i="1"/>
  <c r="Y19" i="1"/>
  <c r="C20" i="1"/>
  <c r="D20" i="1"/>
  <c r="E20" i="1"/>
  <c r="F20" i="1"/>
  <c r="G20" i="1"/>
  <c r="H20" i="1"/>
  <c r="I20" i="1"/>
  <c r="J20" i="1"/>
  <c r="K20" i="1"/>
  <c r="L20" i="1"/>
  <c r="M20" i="1"/>
  <c r="N20" i="1"/>
  <c r="O20" i="1"/>
  <c r="P20" i="1"/>
  <c r="Q20" i="1"/>
  <c r="R20" i="1"/>
  <c r="S20" i="1"/>
  <c r="T20" i="1"/>
  <c r="U20" i="1"/>
  <c r="V20" i="1"/>
  <c r="W20" i="1"/>
  <c r="X20" i="1"/>
  <c r="Y20" i="1"/>
  <c r="C21" i="1"/>
  <c r="D21" i="1"/>
  <c r="E21" i="1"/>
  <c r="F21" i="1"/>
  <c r="G21" i="1"/>
  <c r="H21" i="1"/>
  <c r="I21" i="1"/>
  <c r="J21" i="1"/>
  <c r="K21" i="1"/>
  <c r="L21" i="1"/>
  <c r="M21" i="1"/>
  <c r="N21" i="1"/>
  <c r="O21" i="1"/>
  <c r="P21" i="1"/>
  <c r="Q21" i="1"/>
  <c r="R21" i="1"/>
  <c r="S21" i="1"/>
  <c r="T21" i="1"/>
  <c r="U21" i="1"/>
  <c r="V21" i="1"/>
  <c r="W21" i="1"/>
  <c r="X21" i="1"/>
  <c r="Y21" i="1"/>
  <c r="B21" i="1"/>
  <c r="B20" i="1"/>
  <c r="B19" i="1"/>
  <c r="B18" i="1"/>
  <c r="B17" i="1"/>
  <c r="C4" i="1"/>
  <c r="D4" i="1"/>
  <c r="E4" i="1"/>
  <c r="F4" i="1"/>
  <c r="G4" i="1"/>
  <c r="H4" i="1"/>
  <c r="I4" i="1"/>
  <c r="J4" i="1"/>
  <c r="K4" i="1"/>
  <c r="L4" i="1"/>
  <c r="M4" i="1"/>
  <c r="N4" i="1"/>
  <c r="O4" i="1"/>
  <c r="P4" i="1"/>
  <c r="Q4" i="1"/>
  <c r="R4" i="1"/>
  <c r="S4" i="1"/>
  <c r="T4" i="1"/>
  <c r="U4" i="1"/>
  <c r="V4" i="1"/>
  <c r="W4" i="1"/>
  <c r="X4" i="1"/>
  <c r="Y4" i="1"/>
  <c r="C5" i="1"/>
  <c r="D5" i="1"/>
  <c r="E5" i="1"/>
  <c r="F5" i="1"/>
  <c r="G5" i="1"/>
  <c r="H5" i="1"/>
  <c r="I5" i="1"/>
  <c r="J5" i="1"/>
  <c r="K5" i="1"/>
  <c r="L5" i="1"/>
  <c r="M5" i="1"/>
  <c r="N5" i="1"/>
  <c r="O5" i="1"/>
  <c r="P5" i="1"/>
  <c r="Q5" i="1"/>
  <c r="R5" i="1"/>
  <c r="S5" i="1"/>
  <c r="T5" i="1"/>
  <c r="U5" i="1"/>
  <c r="V5" i="1"/>
  <c r="W5" i="1"/>
  <c r="X5" i="1"/>
  <c r="Y5" i="1"/>
  <c r="C6" i="1"/>
  <c r="D6" i="1"/>
  <c r="E6" i="1"/>
  <c r="F6" i="1"/>
  <c r="G6" i="1"/>
  <c r="H6" i="1"/>
  <c r="I6" i="1"/>
  <c r="J6" i="1"/>
  <c r="K6" i="1"/>
  <c r="L6" i="1"/>
  <c r="M6" i="1"/>
  <c r="N6" i="1"/>
  <c r="O6" i="1"/>
  <c r="P6" i="1"/>
  <c r="Q6" i="1"/>
  <c r="R6" i="1"/>
  <c r="S6" i="1"/>
  <c r="T6" i="1"/>
  <c r="U6" i="1"/>
  <c r="V6" i="1"/>
  <c r="W6" i="1"/>
  <c r="X6" i="1"/>
  <c r="Y6" i="1"/>
  <c r="C7" i="1"/>
  <c r="D7" i="1"/>
  <c r="E7" i="1"/>
  <c r="F7" i="1"/>
  <c r="G7" i="1"/>
  <c r="H7" i="1"/>
  <c r="I7" i="1"/>
  <c r="J7" i="1"/>
  <c r="K7" i="1"/>
  <c r="L7" i="1"/>
  <c r="M7" i="1"/>
  <c r="N7" i="1"/>
  <c r="O7" i="1"/>
  <c r="P7" i="1"/>
  <c r="Q7" i="1"/>
  <c r="R7" i="1"/>
  <c r="S7" i="1"/>
  <c r="T7" i="1"/>
  <c r="U7" i="1"/>
  <c r="V7" i="1"/>
  <c r="W7" i="1"/>
  <c r="X7" i="1"/>
  <c r="Y7" i="1"/>
  <c r="C8" i="1"/>
  <c r="D8" i="1"/>
  <c r="E8" i="1"/>
  <c r="F8" i="1"/>
  <c r="G8" i="1"/>
  <c r="H8" i="1"/>
  <c r="I8" i="1"/>
  <c r="J8" i="1"/>
  <c r="K8" i="1"/>
  <c r="L8" i="1"/>
  <c r="M8" i="1"/>
  <c r="N8" i="1"/>
  <c r="O8" i="1"/>
  <c r="P8" i="1"/>
  <c r="Q8" i="1"/>
  <c r="R8" i="1"/>
  <c r="S8" i="1"/>
  <c r="T8" i="1"/>
  <c r="U8" i="1"/>
  <c r="V8" i="1"/>
  <c r="W8" i="1"/>
  <c r="X8" i="1"/>
  <c r="Y8" i="1"/>
  <c r="C9" i="1"/>
  <c r="D9" i="1"/>
  <c r="E9" i="1"/>
  <c r="F9" i="1"/>
  <c r="F49" i="5" s="1"/>
  <c r="G9" i="1"/>
  <c r="G49" i="5" s="1"/>
  <c r="H9" i="1"/>
  <c r="H49" i="5" s="1"/>
  <c r="I9" i="1"/>
  <c r="I49" i="5" s="1"/>
  <c r="J9" i="1"/>
  <c r="J49" i="5" s="1"/>
  <c r="K9" i="1"/>
  <c r="K49" i="5" s="1"/>
  <c r="L9" i="1"/>
  <c r="L49" i="5" s="1"/>
  <c r="M9" i="1"/>
  <c r="M49" i="5" s="1"/>
  <c r="N9" i="1"/>
  <c r="N49" i="5" s="1"/>
  <c r="O9" i="1"/>
  <c r="O49" i="5" s="1"/>
  <c r="P9" i="1"/>
  <c r="P49" i="5" s="1"/>
  <c r="Q9" i="1"/>
  <c r="Q49" i="5" s="1"/>
  <c r="R9" i="1"/>
  <c r="R49" i="5" s="1"/>
  <c r="S9" i="1"/>
  <c r="S49" i="5" s="1"/>
  <c r="T9" i="1"/>
  <c r="T49" i="5" s="1"/>
  <c r="U9" i="1"/>
  <c r="U49" i="5" s="1"/>
  <c r="V9" i="1"/>
  <c r="V49" i="5" s="1"/>
  <c r="W9" i="1"/>
  <c r="W49" i="5" s="1"/>
  <c r="X9" i="1"/>
  <c r="X49" i="5" s="1"/>
  <c r="Y9" i="1"/>
  <c r="Y49" i="5" s="1"/>
  <c r="C10" i="1"/>
  <c r="C70" i="5" s="1"/>
  <c r="D10" i="1"/>
  <c r="D70" i="5" s="1"/>
  <c r="E10" i="1"/>
  <c r="E70" i="5" s="1"/>
  <c r="F10" i="1"/>
  <c r="G10" i="1"/>
  <c r="H10" i="1"/>
  <c r="I10" i="1"/>
  <c r="J10" i="1"/>
  <c r="K10" i="1"/>
  <c r="L10" i="1"/>
  <c r="M10" i="1"/>
  <c r="N10" i="1"/>
  <c r="O10" i="1"/>
  <c r="P10" i="1"/>
  <c r="Q10" i="1"/>
  <c r="R10" i="1"/>
  <c r="S10" i="1"/>
  <c r="T10" i="1"/>
  <c r="U10" i="1"/>
  <c r="V10" i="1"/>
  <c r="W10" i="1"/>
  <c r="X10" i="1"/>
  <c r="Y10" i="1"/>
  <c r="B10" i="1"/>
  <c r="B70" i="5" s="1"/>
  <c r="B9" i="1"/>
  <c r="B8" i="1"/>
  <c r="B7" i="1"/>
  <c r="B6" i="1"/>
  <c r="B5" i="1"/>
  <c r="C47" i="1"/>
  <c r="D47" i="1"/>
  <c r="E47" i="1"/>
  <c r="F47" i="1"/>
  <c r="G47" i="1"/>
  <c r="H47" i="1"/>
  <c r="I47" i="1"/>
  <c r="J47" i="1"/>
  <c r="K47" i="1"/>
  <c r="L47" i="1"/>
  <c r="M47" i="1"/>
  <c r="N47" i="1"/>
  <c r="O47" i="1"/>
  <c r="P47" i="1"/>
  <c r="Q47" i="1"/>
  <c r="R47" i="1"/>
  <c r="S47" i="1"/>
  <c r="T47" i="1"/>
  <c r="U47" i="1"/>
  <c r="V47" i="1"/>
  <c r="Z67" i="1" s="1"/>
  <c r="W47" i="1"/>
  <c r="AA67" i="1" s="1"/>
  <c r="X47" i="1"/>
  <c r="AB67" i="1" s="1"/>
  <c r="Y47" i="1"/>
  <c r="AC67" i="1" s="1"/>
  <c r="B47" i="1"/>
  <c r="C30" i="1"/>
  <c r="D30" i="1"/>
  <c r="E30" i="1"/>
  <c r="F30" i="1"/>
  <c r="G30" i="1"/>
  <c r="H30" i="1"/>
  <c r="I30" i="1"/>
  <c r="J30" i="1"/>
  <c r="K30" i="1"/>
  <c r="L30" i="1"/>
  <c r="M30" i="1"/>
  <c r="N30" i="1"/>
  <c r="O30" i="1"/>
  <c r="P30" i="1"/>
  <c r="Q30" i="1"/>
  <c r="R30" i="1"/>
  <c r="S30" i="1"/>
  <c r="T30" i="1"/>
  <c r="U30" i="1"/>
  <c r="V30" i="1"/>
  <c r="W30" i="1"/>
  <c r="X30" i="1"/>
  <c r="Y30" i="1"/>
  <c r="B30" i="1"/>
  <c r="B16" i="1"/>
  <c r="B4" i="1"/>
  <c r="Y5" i="8" l="1"/>
  <c r="Y24" i="8" s="1"/>
  <c r="AC32" i="8" s="1"/>
  <c r="V5" i="8"/>
  <c r="V24" i="8" s="1"/>
  <c r="Z32" i="8" s="1"/>
  <c r="R5" i="8"/>
  <c r="R27" i="8" s="1"/>
  <c r="N5" i="8"/>
  <c r="N24" i="8" s="1"/>
  <c r="J5" i="8"/>
  <c r="J29" i="8" s="1"/>
  <c r="F5" i="8"/>
  <c r="F29" i="8" s="1"/>
  <c r="X5" i="8"/>
  <c r="X24" i="8" s="1"/>
  <c r="AB32" i="8" s="1"/>
  <c r="P5" i="8"/>
  <c r="P25" i="8" s="1"/>
  <c r="L5" i="8"/>
  <c r="L28" i="8" s="1"/>
  <c r="H5" i="8"/>
  <c r="H24" i="8" s="1"/>
  <c r="B5" i="8"/>
  <c r="B29" i="8" s="1"/>
  <c r="W5" i="8"/>
  <c r="W25" i="8" s="1"/>
  <c r="AA33" i="8" s="1"/>
  <c r="S5" i="8"/>
  <c r="S28" i="8" s="1"/>
  <c r="O5" i="8"/>
  <c r="O26" i="8" s="1"/>
  <c r="K5" i="8"/>
  <c r="K26" i="8" s="1"/>
  <c r="G5" i="8"/>
  <c r="G25" i="8" s="1"/>
  <c r="C5" i="8"/>
  <c r="C28" i="8" s="1"/>
  <c r="U5" i="8"/>
  <c r="U29" i="8" s="1"/>
  <c r="Q5" i="8"/>
  <c r="Q27" i="8" s="1"/>
  <c r="M5" i="8"/>
  <c r="M24" i="8" s="1"/>
  <c r="I5" i="8"/>
  <c r="I29" i="8" s="1"/>
  <c r="E5" i="8"/>
  <c r="E24" i="8" s="1"/>
  <c r="T5" i="8"/>
  <c r="T26" i="8" s="1"/>
  <c r="D5" i="8"/>
  <c r="D26" i="8" s="1"/>
  <c r="Y70" i="5"/>
  <c r="AC74" i="5" s="1"/>
  <c r="Q56" i="5"/>
  <c r="Q54" i="5"/>
  <c r="Q70" i="5"/>
  <c r="Q57" i="5"/>
  <c r="Q55" i="5"/>
  <c r="M57" i="5"/>
  <c r="M55" i="5"/>
  <c r="M56" i="5"/>
  <c r="M54" i="5"/>
  <c r="M70" i="5"/>
  <c r="I56" i="5"/>
  <c r="I57" i="5"/>
  <c r="I55" i="5"/>
  <c r="I54" i="5"/>
  <c r="I70" i="5"/>
  <c r="I74" i="5" s="1"/>
  <c r="X70" i="5"/>
  <c r="AB74" i="5" s="1"/>
  <c r="P57" i="5"/>
  <c r="P56" i="5"/>
  <c r="P55" i="5"/>
  <c r="P54" i="5"/>
  <c r="P70" i="5"/>
  <c r="L57" i="5"/>
  <c r="L56" i="5"/>
  <c r="L55" i="5"/>
  <c r="L54" i="5"/>
  <c r="L70" i="5"/>
  <c r="H57" i="5"/>
  <c r="H56" i="5"/>
  <c r="H55" i="5"/>
  <c r="H54" i="5"/>
  <c r="H70" i="5"/>
  <c r="H74" i="5" s="1"/>
  <c r="W57" i="5"/>
  <c r="W56" i="5"/>
  <c r="W55" i="5"/>
  <c r="W54" i="5"/>
  <c r="W70" i="5"/>
  <c r="K57" i="5"/>
  <c r="K56" i="5"/>
  <c r="K55" i="5"/>
  <c r="K54" i="5"/>
  <c r="K70" i="5"/>
  <c r="V56" i="5"/>
  <c r="V57" i="5"/>
  <c r="V55" i="5"/>
  <c r="V54" i="5"/>
  <c r="V70" i="5"/>
  <c r="R70" i="5"/>
  <c r="R57" i="5"/>
  <c r="R55" i="5"/>
  <c r="R54" i="5"/>
  <c r="R56" i="5"/>
  <c r="N54" i="5"/>
  <c r="N56" i="5"/>
  <c r="N57" i="5"/>
  <c r="N55" i="5"/>
  <c r="N70" i="5"/>
  <c r="J57" i="5"/>
  <c r="J55" i="5"/>
  <c r="J70" i="5"/>
  <c r="J56" i="5"/>
  <c r="J54" i="5"/>
  <c r="F55" i="5"/>
  <c r="F54" i="5"/>
  <c r="F83" i="5" s="1"/>
  <c r="F70" i="5"/>
  <c r="F74" i="5" s="1"/>
  <c r="F56" i="5"/>
  <c r="F57" i="5"/>
  <c r="T57" i="5"/>
  <c r="T56" i="5"/>
  <c r="T55" i="5"/>
  <c r="T54" i="5"/>
  <c r="T70" i="5"/>
  <c r="U57" i="5"/>
  <c r="U55" i="5"/>
  <c r="U54" i="5"/>
  <c r="U70" i="5"/>
  <c r="U74" i="5" s="1"/>
  <c r="U56" i="5"/>
  <c r="S57" i="5"/>
  <c r="S56" i="5"/>
  <c r="S55" i="5"/>
  <c r="S54" i="5"/>
  <c r="S70" i="5"/>
  <c r="O57" i="5"/>
  <c r="O56" i="5"/>
  <c r="O55" i="5"/>
  <c r="O54" i="5"/>
  <c r="O70" i="5"/>
  <c r="G57" i="5"/>
  <c r="G56" i="5"/>
  <c r="G55" i="5"/>
  <c r="G54" i="5"/>
  <c r="G70" i="5"/>
  <c r="G74" i="5" s="1"/>
  <c r="B45" i="1"/>
  <c r="Y42" i="1"/>
  <c r="Q42" i="1"/>
  <c r="I42" i="1"/>
  <c r="J46" i="1"/>
  <c r="W46" i="1"/>
  <c r="G46" i="1"/>
  <c r="Y46" i="1"/>
  <c r="U46" i="1"/>
  <c r="M46" i="1"/>
  <c r="I46" i="1"/>
  <c r="E46" i="1"/>
  <c r="T45" i="1"/>
  <c r="L45" i="1"/>
  <c r="W44" i="1"/>
  <c r="S44" i="1"/>
  <c r="K44" i="1"/>
  <c r="G44" i="1"/>
  <c r="C44" i="1"/>
  <c r="B46" i="1"/>
  <c r="V46" i="1"/>
  <c r="R46" i="1"/>
  <c r="N46" i="1"/>
  <c r="F46" i="1"/>
  <c r="Y45" i="1"/>
  <c r="U45" i="1"/>
  <c r="Q45" i="1"/>
  <c r="I45" i="1"/>
  <c r="E45" i="1"/>
  <c r="X44" i="1"/>
  <c r="T44" i="1"/>
  <c r="P44" i="1"/>
  <c r="L44" i="1"/>
  <c r="H44" i="1"/>
  <c r="D44" i="1"/>
  <c r="W42" i="1"/>
  <c r="S42" i="1"/>
  <c r="O42" i="1"/>
  <c r="G42" i="1"/>
  <c r="C42" i="1"/>
  <c r="W45" i="1"/>
  <c r="S45" i="1"/>
  <c r="O45" i="1"/>
  <c r="K45" i="1"/>
  <c r="G45" i="1"/>
  <c r="C45" i="1"/>
  <c r="V44" i="1"/>
  <c r="R44" i="1"/>
  <c r="N44" i="1"/>
  <c r="J44" i="1"/>
  <c r="F44" i="1"/>
  <c r="X45" i="1"/>
  <c r="P45" i="1"/>
  <c r="H45" i="1"/>
  <c r="D45" i="1"/>
  <c r="N45" i="1"/>
  <c r="M45" i="1"/>
  <c r="V45" i="1"/>
  <c r="R45" i="1"/>
  <c r="J45" i="1"/>
  <c r="F45" i="1"/>
  <c r="X46" i="1"/>
  <c r="T46" i="1"/>
  <c r="P46" i="1"/>
  <c r="L46" i="1"/>
  <c r="H46" i="1"/>
  <c r="D46" i="1"/>
  <c r="Y11" i="1"/>
  <c r="U11" i="1"/>
  <c r="Q11" i="1"/>
  <c r="M11" i="1"/>
  <c r="I11" i="1"/>
  <c r="E11" i="1"/>
  <c r="E44" i="1"/>
  <c r="U44" i="1"/>
  <c r="Q46" i="1"/>
  <c r="O44" i="1"/>
  <c r="B44" i="1"/>
  <c r="I23" i="1"/>
  <c r="S46" i="1"/>
  <c r="O46" i="1"/>
  <c r="K46" i="1"/>
  <c r="C46" i="1"/>
  <c r="Q44" i="1"/>
  <c r="M44" i="1"/>
  <c r="I44" i="1"/>
  <c r="X11" i="1"/>
  <c r="T11" i="1"/>
  <c r="L11" i="1"/>
  <c r="H11" i="1"/>
  <c r="D11" i="1"/>
  <c r="P37" i="1"/>
  <c r="V23" i="1"/>
  <c r="R23" i="1"/>
  <c r="N23" i="1"/>
  <c r="J23" i="1"/>
  <c r="F23" i="1"/>
  <c r="V43" i="1"/>
  <c r="J43" i="1"/>
  <c r="N43" i="1"/>
  <c r="P11" i="1"/>
  <c r="B37" i="1"/>
  <c r="D43" i="1"/>
  <c r="Y43" i="1"/>
  <c r="U43" i="1"/>
  <c r="Q43" i="1"/>
  <c r="M43" i="1"/>
  <c r="I43" i="1"/>
  <c r="E43" i="1"/>
  <c r="Y37" i="1"/>
  <c r="R37" i="1"/>
  <c r="R43" i="1"/>
  <c r="F43" i="1"/>
  <c r="F37" i="1"/>
  <c r="X37" i="1"/>
  <c r="T37" i="1"/>
  <c r="X43" i="1"/>
  <c r="T43" i="1"/>
  <c r="P43" i="1"/>
  <c r="L43" i="1"/>
  <c r="H43" i="1"/>
  <c r="W43" i="1"/>
  <c r="S43" i="1"/>
  <c r="O43" i="1"/>
  <c r="K43" i="1"/>
  <c r="G43" i="1"/>
  <c r="C43" i="1"/>
  <c r="U37" i="1"/>
  <c r="E37" i="1"/>
  <c r="K37" i="1"/>
  <c r="N37" i="1"/>
  <c r="J37" i="1"/>
  <c r="X23" i="1"/>
  <c r="T23" i="1"/>
  <c r="P23" i="1"/>
  <c r="L23" i="1"/>
  <c r="H23" i="1"/>
  <c r="D23" i="1"/>
  <c r="M23" i="1"/>
  <c r="Y23" i="1"/>
  <c r="U23" i="1"/>
  <c r="Q23" i="1"/>
  <c r="H37" i="1"/>
  <c r="M42" i="1"/>
  <c r="E42" i="1"/>
  <c r="D37" i="1"/>
  <c r="L37" i="1"/>
  <c r="B42" i="1"/>
  <c r="W37" i="1"/>
  <c r="O37" i="1"/>
  <c r="C37" i="1"/>
  <c r="E23" i="1"/>
  <c r="K42" i="1"/>
  <c r="S37" i="1"/>
  <c r="G37" i="1"/>
  <c r="U42" i="1"/>
  <c r="B11" i="1"/>
  <c r="I37" i="1"/>
  <c r="Y44" i="1"/>
  <c r="V37" i="1"/>
  <c r="M37" i="1"/>
  <c r="Q37" i="1"/>
  <c r="X42" i="1"/>
  <c r="T42" i="1"/>
  <c r="P42" i="1"/>
  <c r="L42" i="1"/>
  <c r="H42" i="1"/>
  <c r="D42" i="1"/>
  <c r="W23" i="1"/>
  <c r="S23" i="1"/>
  <c r="O23" i="1"/>
  <c r="K23" i="1"/>
  <c r="G23" i="1"/>
  <c r="C23" i="1"/>
  <c r="V42" i="1"/>
  <c r="R42" i="1"/>
  <c r="N42" i="1"/>
  <c r="J42" i="1"/>
  <c r="F42" i="1"/>
  <c r="B23" i="1"/>
  <c r="B43" i="1"/>
  <c r="W11" i="1"/>
  <c r="S11" i="1"/>
  <c r="O11" i="1"/>
  <c r="K11" i="1"/>
  <c r="G11" i="1"/>
  <c r="C11" i="1"/>
  <c r="V11" i="1"/>
  <c r="R11" i="1"/>
  <c r="N11" i="1"/>
  <c r="J11" i="1"/>
  <c r="F11" i="1"/>
  <c r="U61" i="5" l="1"/>
  <c r="U63" i="5"/>
  <c r="Y28" i="8"/>
  <c r="AC36" i="8" s="1"/>
  <c r="Y27" i="8"/>
  <c r="AC35" i="8" s="1"/>
  <c r="Y26" i="8"/>
  <c r="AC34" i="8" s="1"/>
  <c r="Y25" i="8"/>
  <c r="AC33" i="8" s="1"/>
  <c r="Y29" i="8"/>
  <c r="F24" i="8"/>
  <c r="F27" i="8"/>
  <c r="H25" i="8"/>
  <c r="G66" i="5"/>
  <c r="O61" i="5"/>
  <c r="N74" i="5"/>
  <c r="O74" i="5"/>
  <c r="O63" i="5"/>
  <c r="N63" i="5"/>
  <c r="M74" i="5"/>
  <c r="V28" i="8"/>
  <c r="Z36" i="8" s="1"/>
  <c r="N28" i="8"/>
  <c r="N27" i="8"/>
  <c r="R35" i="8" s="1"/>
  <c r="V27" i="8"/>
  <c r="J28" i="8"/>
  <c r="V25" i="8"/>
  <c r="Z33" i="8" s="1"/>
  <c r="J27" i="8"/>
  <c r="V26" i="8"/>
  <c r="Z34" i="8" s="1"/>
  <c r="F28" i="8"/>
  <c r="F25" i="8"/>
  <c r="V29" i="8"/>
  <c r="Z37" i="8" s="1"/>
  <c r="F26" i="8"/>
  <c r="T24" i="8"/>
  <c r="X32" i="8" s="1"/>
  <c r="R29" i="8"/>
  <c r="R24" i="8"/>
  <c r="V32" i="8" s="1"/>
  <c r="N26" i="8"/>
  <c r="X26" i="8"/>
  <c r="N29" i="8"/>
  <c r="B25" i="8"/>
  <c r="R26" i="8"/>
  <c r="R25" i="8"/>
  <c r="N25" i="8"/>
  <c r="X25" i="8"/>
  <c r="AB33" i="8" s="1"/>
  <c r="Q24" i="8"/>
  <c r="Q32" i="8" s="1"/>
  <c r="R28" i="8"/>
  <c r="J26" i="8"/>
  <c r="J25" i="8"/>
  <c r="J24" i="8"/>
  <c r="N32" i="8" s="1"/>
  <c r="G28" i="8"/>
  <c r="G36" i="8" s="1"/>
  <c r="D24" i="8"/>
  <c r="H32" i="8" s="1"/>
  <c r="G27" i="8"/>
  <c r="T28" i="8"/>
  <c r="W24" i="8"/>
  <c r="AA32" i="8" s="1"/>
  <c r="W29" i="8"/>
  <c r="AA37" i="8" s="1"/>
  <c r="O24" i="8"/>
  <c r="P26" i="8"/>
  <c r="T34" i="8" s="1"/>
  <c r="X28" i="8"/>
  <c r="AB36" i="8" s="1"/>
  <c r="M29" i="8"/>
  <c r="M37" i="8" s="1"/>
  <c r="K27" i="8"/>
  <c r="B28" i="8"/>
  <c r="P29" i="8"/>
  <c r="X29" i="8"/>
  <c r="AB37" i="8" s="1"/>
  <c r="Q25" i="8"/>
  <c r="B24" i="8"/>
  <c r="E29" i="8"/>
  <c r="I37" i="8" s="1"/>
  <c r="U28" i="8"/>
  <c r="X27" i="8"/>
  <c r="AB35" i="8" s="1"/>
  <c r="U27" i="8"/>
  <c r="U35" i="8" s="1"/>
  <c r="K25" i="8"/>
  <c r="K33" i="8" s="1"/>
  <c r="O27" i="8"/>
  <c r="H29" i="8"/>
  <c r="H26" i="8"/>
  <c r="H34" i="8" s="1"/>
  <c r="T27" i="8"/>
  <c r="E26" i="8"/>
  <c r="E25" i="8"/>
  <c r="Q29" i="8"/>
  <c r="U24" i="8"/>
  <c r="Y32" i="8" s="1"/>
  <c r="K28" i="8"/>
  <c r="O28" i="8"/>
  <c r="S36" i="8" s="1"/>
  <c r="H28" i="8"/>
  <c r="L36" i="8" s="1"/>
  <c r="E28" i="8"/>
  <c r="E27" i="8"/>
  <c r="U26" i="8"/>
  <c r="U25" i="8"/>
  <c r="O25" i="8"/>
  <c r="H27" i="8"/>
  <c r="I26" i="8"/>
  <c r="O29" i="8"/>
  <c r="D27" i="8"/>
  <c r="L24" i="8"/>
  <c r="W27" i="8"/>
  <c r="AA35" i="8" s="1"/>
  <c r="P24" i="8"/>
  <c r="M27" i="8"/>
  <c r="Q35" i="8" s="1"/>
  <c r="C25" i="8"/>
  <c r="G33" i="8" s="1"/>
  <c r="D28" i="8"/>
  <c r="L27" i="8"/>
  <c r="P28" i="8"/>
  <c r="P36" i="8" s="1"/>
  <c r="T25" i="8"/>
  <c r="T33" i="8" s="1"/>
  <c r="M26" i="8"/>
  <c r="Q26" i="8"/>
  <c r="G29" i="8"/>
  <c r="G24" i="8"/>
  <c r="K24" i="8"/>
  <c r="S24" i="8"/>
  <c r="W26" i="8"/>
  <c r="AA34" i="8" s="1"/>
  <c r="B26" i="8"/>
  <c r="I25" i="8"/>
  <c r="D25" i="8"/>
  <c r="P27" i="8"/>
  <c r="M28" i="8"/>
  <c r="M25" i="8"/>
  <c r="C24" i="8"/>
  <c r="G26" i="8"/>
  <c r="K34" i="8" s="1"/>
  <c r="S27" i="8"/>
  <c r="W28" i="8"/>
  <c r="W61" i="5"/>
  <c r="L63" i="5"/>
  <c r="T61" i="5"/>
  <c r="R61" i="5"/>
  <c r="V74" i="5"/>
  <c r="L74" i="5"/>
  <c r="M63" i="5"/>
  <c r="K74" i="5"/>
  <c r="K63" i="5"/>
  <c r="Q61" i="5"/>
  <c r="D29" i="8"/>
  <c r="L29" i="8"/>
  <c r="L26" i="8"/>
  <c r="T29" i="8"/>
  <c r="I28" i="8"/>
  <c r="I27" i="8"/>
  <c r="Q28" i="8"/>
  <c r="C29" i="8"/>
  <c r="C26" i="8"/>
  <c r="K29" i="8"/>
  <c r="S29" i="8"/>
  <c r="S26" i="8"/>
  <c r="S34" i="8" s="1"/>
  <c r="B27" i="8"/>
  <c r="L25" i="8"/>
  <c r="P33" i="8" s="1"/>
  <c r="I24" i="8"/>
  <c r="M32" i="8" s="1"/>
  <c r="C27" i="8"/>
  <c r="S25" i="8"/>
  <c r="W33" i="8" s="1"/>
  <c r="J37" i="8"/>
  <c r="O34" i="8"/>
  <c r="F37" i="8"/>
  <c r="U65" i="5"/>
  <c r="U83" i="5"/>
  <c r="U60" i="5"/>
  <c r="R60" i="5"/>
  <c r="R65" i="5"/>
  <c r="R83" i="5"/>
  <c r="K62" i="5"/>
  <c r="K66" i="5"/>
  <c r="H65" i="5"/>
  <c r="H83" i="5"/>
  <c r="P66" i="5"/>
  <c r="P62" i="5"/>
  <c r="P93" i="5"/>
  <c r="P92" i="5"/>
  <c r="I65" i="5"/>
  <c r="I83" i="5"/>
  <c r="Q65" i="5"/>
  <c r="Q60" i="5"/>
  <c r="Q83" i="5"/>
  <c r="S60" i="5"/>
  <c r="S65" i="5"/>
  <c r="S83" i="5"/>
  <c r="T66" i="5"/>
  <c r="T62" i="5"/>
  <c r="T93" i="5"/>
  <c r="T92" i="5"/>
  <c r="O62" i="5"/>
  <c r="O93" i="5"/>
  <c r="O92" i="5"/>
  <c r="O66" i="5"/>
  <c r="S61" i="5"/>
  <c r="T74" i="5"/>
  <c r="T63" i="5"/>
  <c r="J74" i="5"/>
  <c r="N61" i="5"/>
  <c r="R93" i="5"/>
  <c r="R62" i="5"/>
  <c r="R66" i="5"/>
  <c r="R92" i="5"/>
  <c r="R74" i="5"/>
  <c r="V63" i="5"/>
  <c r="K61" i="5"/>
  <c r="W60" i="5"/>
  <c r="W65" i="5"/>
  <c r="W83" i="5"/>
  <c r="L66" i="5"/>
  <c r="L62" i="5"/>
  <c r="P61" i="5"/>
  <c r="I66" i="5"/>
  <c r="M61" i="5"/>
  <c r="Q74" i="5"/>
  <c r="G65" i="5"/>
  <c r="G83" i="5"/>
  <c r="G82" i="5" s="1"/>
  <c r="T65" i="5"/>
  <c r="T60" i="5"/>
  <c r="T83" i="5"/>
  <c r="J61" i="5"/>
  <c r="O60" i="5"/>
  <c r="O65" i="5"/>
  <c r="O83" i="5"/>
  <c r="S74" i="5"/>
  <c r="S63" i="5"/>
  <c r="J60" i="5"/>
  <c r="J65" i="5"/>
  <c r="J83" i="5"/>
  <c r="J63" i="5"/>
  <c r="N93" i="5"/>
  <c r="N62" i="5"/>
  <c r="N66" i="5"/>
  <c r="N92" i="5"/>
  <c r="V60" i="5"/>
  <c r="V65" i="5"/>
  <c r="V83" i="5"/>
  <c r="W62" i="5"/>
  <c r="W93" i="5"/>
  <c r="W66" i="5"/>
  <c r="W92" i="5"/>
  <c r="L65" i="5"/>
  <c r="L60" i="5"/>
  <c r="L83" i="5"/>
  <c r="P74" i="5"/>
  <c r="P63" i="5"/>
  <c r="M65" i="5"/>
  <c r="M60" i="5"/>
  <c r="M83" i="5"/>
  <c r="Q66" i="5"/>
  <c r="Q92" i="5"/>
  <c r="Q93" i="5"/>
  <c r="Q62" i="5"/>
  <c r="S62" i="5"/>
  <c r="S93" i="5"/>
  <c r="S92" i="5"/>
  <c r="S66" i="5"/>
  <c r="V93" i="5"/>
  <c r="V62" i="5"/>
  <c r="V66" i="5"/>
  <c r="V92" i="5"/>
  <c r="U66" i="5"/>
  <c r="U92" i="5"/>
  <c r="U93" i="5"/>
  <c r="U62" i="5"/>
  <c r="J62" i="5"/>
  <c r="J66" i="5"/>
  <c r="N60" i="5"/>
  <c r="N65" i="5"/>
  <c r="N83" i="5"/>
  <c r="R63" i="5"/>
  <c r="V61" i="5"/>
  <c r="K60" i="5"/>
  <c r="K65" i="5"/>
  <c r="K83" i="5"/>
  <c r="W74" i="5"/>
  <c r="W63" i="5"/>
  <c r="H66" i="5"/>
  <c r="L61" i="5"/>
  <c r="P65" i="5"/>
  <c r="P60" i="5"/>
  <c r="P83" i="5"/>
  <c r="M66" i="5"/>
  <c r="M62" i="5"/>
  <c r="Q63" i="5"/>
  <c r="V36" i="8" l="1"/>
  <c r="T101" i="5"/>
  <c r="J36" i="8"/>
  <c r="Y37" i="8"/>
  <c r="AC37" i="8"/>
  <c r="H33" i="8"/>
  <c r="R34" i="8"/>
  <c r="X34" i="8"/>
  <c r="AB34" i="8"/>
  <c r="W36" i="8"/>
  <c r="AA36" i="8"/>
  <c r="V101" i="5"/>
  <c r="V35" i="8"/>
  <c r="Z35" i="8"/>
  <c r="Y34" i="8"/>
  <c r="Y36" i="8"/>
  <c r="Y33" i="8"/>
  <c r="S101" i="5"/>
  <c r="W101" i="5"/>
  <c r="R101" i="5"/>
  <c r="U101" i="5"/>
  <c r="Y35" i="8"/>
  <c r="M33" i="8"/>
  <c r="F35" i="8"/>
  <c r="J35" i="8"/>
  <c r="N35" i="8"/>
  <c r="F32" i="8"/>
  <c r="K35" i="8"/>
  <c r="R37" i="8"/>
  <c r="F34" i="8"/>
  <c r="R32" i="8"/>
  <c r="G35" i="8"/>
  <c r="Q37" i="8"/>
  <c r="N36" i="8"/>
  <c r="V34" i="8"/>
  <c r="V33" i="8"/>
  <c r="T32" i="8"/>
  <c r="N34" i="8"/>
  <c r="V37" i="8"/>
  <c r="J32" i="8"/>
  <c r="U32" i="8"/>
  <c r="J33" i="8"/>
  <c r="F33" i="8"/>
  <c r="F36" i="8"/>
  <c r="N33" i="8"/>
  <c r="N37" i="8"/>
  <c r="R33" i="8"/>
  <c r="R36" i="8"/>
  <c r="O32" i="8"/>
  <c r="J34" i="8"/>
  <c r="O35" i="8"/>
  <c r="T37" i="8"/>
  <c r="S35" i="8"/>
  <c r="X36" i="8"/>
  <c r="S32" i="8"/>
  <c r="H37" i="8"/>
  <c r="I33" i="8"/>
  <c r="U33" i="8"/>
  <c r="X35" i="8"/>
  <c r="M36" i="8"/>
  <c r="G37" i="8"/>
  <c r="P32" i="8"/>
  <c r="Q36" i="8"/>
  <c r="T35" i="8"/>
  <c r="L32" i="8"/>
  <c r="M34" i="8"/>
  <c r="L35" i="8"/>
  <c r="W35" i="8"/>
  <c r="U37" i="8"/>
  <c r="L34" i="8"/>
  <c r="H35" i="8"/>
  <c r="Q33" i="8"/>
  <c r="H36" i="8"/>
  <c r="U36" i="8"/>
  <c r="X37" i="8"/>
  <c r="I35" i="8"/>
  <c r="L37" i="8"/>
  <c r="P35" i="8"/>
  <c r="O33" i="8"/>
  <c r="O36" i="8"/>
  <c r="I34" i="8"/>
  <c r="U34" i="8"/>
  <c r="S37" i="8"/>
  <c r="S33" i="8"/>
  <c r="K36" i="8"/>
  <c r="I36" i="8"/>
  <c r="M35" i="8"/>
  <c r="T36" i="8"/>
  <c r="Q34" i="8"/>
  <c r="W32" i="8"/>
  <c r="L33" i="8"/>
  <c r="G32" i="8"/>
  <c r="X33" i="8"/>
  <c r="K32" i="8"/>
  <c r="W37" i="8"/>
  <c r="G34" i="8"/>
  <c r="K37" i="8"/>
  <c r="P37" i="8"/>
  <c r="W34" i="8"/>
  <c r="O37" i="8"/>
  <c r="I32" i="8"/>
  <c r="P34" i="8"/>
  <c r="Q79" i="5"/>
  <c r="M79" i="5"/>
  <c r="V79" i="5"/>
  <c r="J79" i="5"/>
  <c r="S79" i="5"/>
  <c r="H82" i="5"/>
  <c r="R79" i="5"/>
  <c r="U79" i="5"/>
  <c r="K79" i="5"/>
  <c r="L79" i="5"/>
  <c r="O79" i="5"/>
  <c r="T79" i="5"/>
  <c r="W79" i="5"/>
  <c r="P79" i="5"/>
  <c r="N79" i="5"/>
  <c r="I82" i="5"/>
  <c r="G67" i="1"/>
  <c r="H67" i="1"/>
  <c r="I67" i="1"/>
  <c r="J67" i="1"/>
  <c r="K67" i="1"/>
  <c r="L67" i="1"/>
  <c r="M67" i="1"/>
  <c r="N67" i="1"/>
  <c r="O67" i="1"/>
  <c r="P67" i="1"/>
  <c r="Q67" i="1"/>
  <c r="R67" i="1"/>
  <c r="S67" i="1"/>
  <c r="T67" i="1"/>
  <c r="U67" i="1"/>
  <c r="V67" i="1"/>
  <c r="W67" i="1"/>
  <c r="X67" i="1"/>
  <c r="Y67" i="1"/>
  <c r="F67" i="1"/>
  <c r="G65" i="1"/>
  <c r="H65" i="1"/>
  <c r="I65" i="1"/>
  <c r="J65" i="1"/>
  <c r="K65" i="1"/>
  <c r="L65" i="1"/>
  <c r="M65" i="1"/>
  <c r="N65" i="1"/>
  <c r="O65" i="1"/>
  <c r="P65" i="1"/>
  <c r="Q65" i="1"/>
  <c r="R65" i="1"/>
  <c r="S65" i="1"/>
  <c r="T65" i="1"/>
  <c r="U65" i="1"/>
  <c r="V65" i="1"/>
  <c r="W65" i="1"/>
  <c r="X65" i="1"/>
  <c r="Y65" i="1"/>
  <c r="C65" i="1"/>
  <c r="D65" i="1"/>
  <c r="E65" i="1"/>
  <c r="F65" i="1"/>
  <c r="B65" i="1"/>
  <c r="C56" i="1"/>
  <c r="D56" i="1"/>
  <c r="E56" i="1"/>
  <c r="F56" i="1"/>
  <c r="G56" i="1"/>
  <c r="H56" i="1"/>
  <c r="I56" i="1"/>
  <c r="J56" i="1"/>
  <c r="K56" i="1"/>
  <c r="L56" i="1"/>
  <c r="M56" i="1"/>
  <c r="N56" i="1"/>
  <c r="O56" i="1"/>
  <c r="P56" i="1"/>
  <c r="Q56" i="1"/>
  <c r="R56" i="1"/>
  <c r="S56" i="1"/>
  <c r="T56" i="1"/>
  <c r="U56" i="1"/>
  <c r="V56" i="1"/>
  <c r="W56" i="1"/>
  <c r="X56" i="1"/>
  <c r="Y56" i="1"/>
  <c r="B56" i="1"/>
  <c r="G61" i="1"/>
  <c r="H61" i="1"/>
  <c r="I61" i="1"/>
  <c r="J61" i="1"/>
  <c r="K61" i="1"/>
  <c r="L61" i="1"/>
  <c r="M61" i="1"/>
  <c r="N61" i="1"/>
  <c r="O61" i="1"/>
  <c r="P61" i="1"/>
  <c r="Q61" i="1"/>
  <c r="R61" i="1"/>
  <c r="S61" i="1"/>
  <c r="T61" i="1"/>
  <c r="U61" i="1"/>
  <c r="V61" i="1"/>
  <c r="AB64" i="12" s="1"/>
  <c r="W61" i="1"/>
  <c r="X61" i="1"/>
  <c r="Y61" i="1"/>
  <c r="AE64" i="12" s="1"/>
  <c r="G62" i="1"/>
  <c r="H62" i="1"/>
  <c r="I62" i="1"/>
  <c r="J62" i="1"/>
  <c r="K62" i="1"/>
  <c r="L62" i="1"/>
  <c r="M62" i="1"/>
  <c r="N62" i="1"/>
  <c r="O62" i="1"/>
  <c r="P62" i="1"/>
  <c r="Q62" i="1"/>
  <c r="R62" i="1"/>
  <c r="S62" i="1"/>
  <c r="T62" i="1"/>
  <c r="U62" i="1"/>
  <c r="V62" i="1"/>
  <c r="W62" i="1"/>
  <c r="X62" i="1"/>
  <c r="Y62" i="1"/>
  <c r="D62" i="1"/>
  <c r="E62" i="1"/>
  <c r="F62" i="1"/>
  <c r="C62" i="1"/>
  <c r="F61" i="1"/>
  <c r="G53" i="1"/>
  <c r="H53" i="1"/>
  <c r="I53" i="1"/>
  <c r="J53" i="1"/>
  <c r="K53" i="1"/>
  <c r="L53" i="1"/>
  <c r="M53" i="1"/>
  <c r="N53" i="1"/>
  <c r="O53" i="1"/>
  <c r="P53" i="1"/>
  <c r="Q53" i="1"/>
  <c r="R53" i="1"/>
  <c r="S53" i="1"/>
  <c r="T53" i="1"/>
  <c r="U53" i="1"/>
  <c r="V53" i="1"/>
  <c r="W53" i="1"/>
  <c r="X53" i="1"/>
  <c r="Y53" i="1"/>
  <c r="G54" i="1"/>
  <c r="H54" i="1"/>
  <c r="I54" i="1"/>
  <c r="J54" i="1"/>
  <c r="K54" i="1"/>
  <c r="L54" i="1"/>
  <c r="M54" i="1"/>
  <c r="N54" i="1"/>
  <c r="O54" i="1"/>
  <c r="P54" i="1"/>
  <c r="Q54" i="1"/>
  <c r="R54" i="1"/>
  <c r="S54" i="1"/>
  <c r="T54" i="1"/>
  <c r="U54" i="1"/>
  <c r="V54" i="1"/>
  <c r="W54" i="1"/>
  <c r="X54" i="1"/>
  <c r="Y54" i="1"/>
  <c r="C54" i="1"/>
  <c r="D54" i="1"/>
  <c r="E54" i="1"/>
  <c r="F54" i="1"/>
  <c r="F53" i="1"/>
  <c r="Y50" i="1"/>
  <c r="W50" i="1"/>
  <c r="X50" i="1"/>
  <c r="V50" i="1"/>
  <c r="U50" i="1"/>
  <c r="T50" i="1"/>
  <c r="S50" i="1"/>
  <c r="R50" i="1"/>
  <c r="Q50" i="1"/>
  <c r="P50" i="1"/>
  <c r="O50" i="1"/>
  <c r="N50" i="1"/>
  <c r="M50" i="1"/>
  <c r="L50" i="1"/>
  <c r="K50" i="1"/>
  <c r="J50" i="1"/>
  <c r="I50" i="1"/>
  <c r="H50" i="1"/>
  <c r="G50" i="1"/>
  <c r="F50" i="1"/>
  <c r="E50" i="1"/>
  <c r="D50" i="1"/>
  <c r="C50" i="1"/>
  <c r="B50" i="1"/>
  <c r="P57" i="1" l="1"/>
  <c r="H57" i="1"/>
  <c r="G57" i="1"/>
  <c r="N57" i="1"/>
  <c r="F57" i="1"/>
  <c r="O57" i="1"/>
  <c r="M57" i="1"/>
  <c r="U57" i="1"/>
  <c r="T57" i="1"/>
  <c r="L57" i="1"/>
  <c r="X57" i="1"/>
  <c r="AB57" i="1"/>
  <c r="V57" i="1"/>
  <c r="Z57" i="1"/>
  <c r="S57" i="1"/>
  <c r="K57" i="1"/>
  <c r="R57" i="1"/>
  <c r="J57" i="1"/>
  <c r="W57" i="1"/>
  <c r="AA57" i="1"/>
  <c r="Y57" i="1"/>
  <c r="AC57" i="1"/>
  <c r="Q57" i="1"/>
  <c r="I57" i="1"/>
  <c r="G58" i="1"/>
  <c r="AB69" i="12"/>
  <c r="AD64" i="12"/>
  <c r="AC64" i="12"/>
  <c r="AA58" i="1"/>
  <c r="AC69" i="12"/>
  <c r="AB58" i="1"/>
  <c r="AD69" i="12"/>
  <c r="AC58" i="1"/>
  <c r="AE69" i="12"/>
  <c r="N58" i="1"/>
  <c r="V58" i="1"/>
  <c r="Z58" i="1"/>
  <c r="Y59" i="1"/>
  <c r="Z59" i="1"/>
  <c r="O58" i="1"/>
  <c r="W58" i="1"/>
  <c r="R81" i="5"/>
  <c r="R82" i="5"/>
  <c r="U82" i="5"/>
  <c r="U81" i="5"/>
  <c r="N81" i="5"/>
  <c r="N82" i="5"/>
  <c r="W81" i="5"/>
  <c r="W82" i="5"/>
  <c r="O81" i="5"/>
  <c r="O82" i="5"/>
  <c r="K81" i="5"/>
  <c r="K82" i="5"/>
  <c r="S81" i="5"/>
  <c r="S82" i="5"/>
  <c r="V81" i="5"/>
  <c r="V82" i="5"/>
  <c r="Q82" i="5"/>
  <c r="Q81" i="5"/>
  <c r="P82" i="5"/>
  <c r="P81" i="5"/>
  <c r="T82" i="5"/>
  <c r="T81" i="5"/>
  <c r="L82" i="5"/>
  <c r="L81" i="5"/>
  <c r="J81" i="5"/>
  <c r="J82" i="5"/>
  <c r="M82" i="5"/>
  <c r="M81" i="5"/>
  <c r="R58" i="1"/>
  <c r="J58" i="1"/>
  <c r="F59" i="1"/>
  <c r="X59" i="1"/>
  <c r="T59" i="1"/>
  <c r="P59" i="1"/>
  <c r="L59" i="1"/>
  <c r="H59" i="1"/>
  <c r="E59" i="1"/>
  <c r="W59" i="1"/>
  <c r="S59" i="1"/>
  <c r="O59" i="1"/>
  <c r="K59" i="1"/>
  <c r="G59" i="1"/>
  <c r="D59" i="1"/>
  <c r="S58" i="1"/>
  <c r="K58" i="1"/>
  <c r="U59" i="1"/>
  <c r="Q59" i="1"/>
  <c r="M59" i="1"/>
  <c r="I59" i="1"/>
  <c r="Y58" i="1"/>
  <c r="Q58" i="1"/>
  <c r="I58" i="1"/>
  <c r="C59" i="1"/>
  <c r="U58" i="1"/>
  <c r="M58" i="1"/>
  <c r="F58" i="1"/>
  <c r="N59" i="1"/>
  <c r="X58" i="1"/>
  <c r="T58" i="1"/>
  <c r="P58" i="1"/>
  <c r="L58" i="1"/>
  <c r="H58" i="1"/>
  <c r="R59" i="1"/>
  <c r="J59" i="1"/>
  <c r="V5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author>
    <author>Kelvin</author>
    <author>David-Mickael Lopes</author>
  </authors>
  <commentList>
    <comment ref="AH5" authorId="0" shapeId="0" xr:uid="{00000000-0006-0000-0100-000001000000}">
      <text>
        <r>
          <rPr>
            <sz val="9"/>
            <color indexed="81"/>
            <rFont val="Tahoma"/>
            <family val="2"/>
          </rPr>
          <t xml:space="preserve">
Was 746</t>
        </r>
      </text>
    </comment>
    <comment ref="AI5" authorId="0" shapeId="0" xr:uid="{00000000-0006-0000-0100-000002000000}">
      <text>
        <r>
          <rPr>
            <sz val="9"/>
            <color indexed="81"/>
            <rFont val="Tahoma"/>
            <family val="2"/>
          </rPr>
          <t xml:space="preserve">
Was 677</t>
        </r>
      </text>
    </comment>
    <comment ref="AJ5" authorId="0" shapeId="0" xr:uid="{00000000-0006-0000-0100-000003000000}">
      <text>
        <r>
          <rPr>
            <sz val="9"/>
            <color indexed="81"/>
            <rFont val="Tahoma"/>
            <family val="2"/>
          </rPr>
          <t xml:space="preserve">
Was 744</t>
        </r>
      </text>
    </comment>
    <comment ref="AK5" authorId="0" shapeId="0" xr:uid="{00000000-0006-0000-0100-000004000000}">
      <text>
        <r>
          <rPr>
            <sz val="9"/>
            <color indexed="81"/>
            <rFont val="Tahoma"/>
            <family val="2"/>
          </rPr>
          <t xml:space="preserve">
Was 994</t>
        </r>
      </text>
    </comment>
    <comment ref="AH10" authorId="0" shapeId="0" xr:uid="{00000000-0006-0000-0100-000005000000}">
      <text>
        <r>
          <rPr>
            <sz val="9"/>
            <color indexed="81"/>
            <rFont val="Tahoma"/>
            <family val="2"/>
          </rPr>
          <t xml:space="preserve">
Expenses restated</t>
        </r>
      </text>
    </comment>
    <comment ref="AI12" authorId="0" shapeId="0" xr:uid="{00000000-0006-0000-0100-000006000000}">
      <text>
        <r>
          <rPr>
            <sz val="9"/>
            <color indexed="81"/>
            <rFont val="Tahoma"/>
            <family val="2"/>
          </rPr>
          <t xml:space="preserve">
Was 16,764</t>
        </r>
      </text>
    </comment>
    <comment ref="AJ12" authorId="0" shapeId="0" xr:uid="{00000000-0006-0000-0100-000007000000}">
      <text>
        <r>
          <rPr>
            <sz val="9"/>
            <color indexed="81"/>
            <rFont val="Tahoma"/>
            <family val="2"/>
          </rPr>
          <t xml:space="preserve">
Was 17.666</t>
        </r>
      </text>
    </comment>
    <comment ref="AK12" authorId="0" shapeId="0" xr:uid="{00000000-0006-0000-0100-000008000000}">
      <text>
        <r>
          <rPr>
            <sz val="9"/>
            <color indexed="81"/>
            <rFont val="Tahoma"/>
            <family val="2"/>
          </rPr>
          <t xml:space="preserve">
Was 20,201</t>
        </r>
      </text>
    </comment>
    <comment ref="AH26" authorId="0" shapeId="0" xr:uid="{00000000-0006-0000-0100-000009000000}">
      <text>
        <r>
          <rPr>
            <sz val="9"/>
            <color indexed="81"/>
            <rFont val="Tahoma"/>
            <family val="2"/>
          </rPr>
          <t xml:space="preserve">
Was 37,840</t>
        </r>
      </text>
    </comment>
    <comment ref="AK35" authorId="0" shapeId="0" xr:uid="{00000000-0006-0000-0100-00000A000000}">
      <text>
        <r>
          <rPr>
            <sz val="9"/>
            <color indexed="81"/>
            <rFont val="Tahoma"/>
            <family val="2"/>
          </rPr>
          <t xml:space="preserve">Charge on account of reassessment of regulatory cost based on a recent judgment on OTSC related matter of Rs. 56,420 Mn; interest on the provision of license fee and spectrum usage charges of Rs. 8,706 Mn; charge on account of regulatory fees based on a recent judgment on a related matter Rs. 1,681 Mn; charge on account of rates and taxes in one of the subsidiaries Rs. 1,659 Mn; accelerated depreciation on 3G network equipment of Rs. 808 Mn and other miscellaneous items amounting to Rs. 766 Mn. </t>
        </r>
      </text>
    </comment>
    <comment ref="AN35" authorId="0" shapeId="0" xr:uid="{FF9DD778-1AB2-44AE-9C70-8AA14314DFE3}">
      <text>
        <r>
          <rPr>
            <sz val="9"/>
            <color indexed="81"/>
            <rFont val="Tahoma"/>
            <family val="2"/>
          </rPr>
          <t xml:space="preserve">
charge on
account of re-assessment of contractual / regulatory levies
and taxes of Rs. 31,596 Mn; charge on account of reassessment
of the useful life of certain categories of network
assets due to technological advancements and impairment
of intangible assets of Rs. 14,195 Mn and net credit on
account of settlement with a customer and other charge for
related entities Rs. 192 Mn.</t>
        </r>
      </text>
    </comment>
    <comment ref="AY35" authorId="1" shapeId="0" xr:uid="{B5462609-579C-4DF0-9B11-74E60A46613E}">
      <text>
        <r>
          <rPr>
            <b/>
            <sz val="9"/>
            <color indexed="81"/>
            <rFont val="Tahoma"/>
            <family val="2"/>
          </rPr>
          <t>Kelvin:</t>
        </r>
        <r>
          <rPr>
            <sz val="9"/>
            <color indexed="81"/>
            <rFont val="Tahoma"/>
            <family val="2"/>
          </rPr>
          <t xml:space="preserve">
charge of Rs. 2,203 Mn on
account of re-assessment of regulatory levies.
Rs 13,500m interest charge related to the effect of tax treatment of adjusted revenue linked
Variable License Fee (VLF) payable to DOT as capital in nature rather than revenue expenditure when computing taxable income</t>
        </r>
      </text>
    </comment>
    <comment ref="AZ35" authorId="1" shapeId="0" xr:uid="{61C42696-EC84-4757-98A6-38DC0B285C14}">
      <text>
        <r>
          <rPr>
            <b/>
            <sz val="9"/>
            <color indexed="81"/>
            <rFont val="Tahoma"/>
            <family val="2"/>
          </rPr>
          <t>Kelvin:</t>
        </r>
        <r>
          <rPr>
            <sz val="9"/>
            <color indexed="81"/>
            <rFont val="Tahoma"/>
            <family val="2"/>
          </rPr>
          <t xml:space="preserve">
foreign exchange loss (net) of Rs. 1,302 million in
profit and loss on account of currency devaluation in its group
subsidiaries</t>
        </r>
      </text>
    </comment>
    <comment ref="BA35" authorId="1" shapeId="0" xr:uid="{33DB78E6-3117-430A-AC85-44989D0F6B70}">
      <text>
        <r>
          <rPr>
            <b/>
            <sz val="9"/>
            <color indexed="81"/>
            <rFont val="Tahoma"/>
            <family val="2"/>
          </rPr>
          <t>Kelvin:</t>
        </r>
        <r>
          <rPr>
            <sz val="9"/>
            <color indexed="81"/>
            <rFont val="Tahoma"/>
            <family val="2"/>
          </rPr>
          <t xml:space="preserve">
comprises of charge of foreign
exchange loss (net) of Rs. 25,444 million on account of currency
devaluation in its group subsidiaries; charge of Rs 900 million
pertaining to indemnity liabilities for past transaction, offset by a
gain on account of reversal of provision amounting to Rs. 1,789
million due to favorable judgement regarding deduction of TDS on
discounts allowed to the prepaid distributors on sale of
SIM/Recharge vouchers. The net tax benefit on above exceptional
items is Rs. 8,226 million. The net charge allocated to non
controlling interest on the above exceptional items is Rs 7,525
million.</t>
        </r>
      </text>
    </comment>
    <comment ref="BB35" authorId="1" shapeId="0" xr:uid="{450DDB38-F7D0-4B96-BB83-5825EB4D268E}">
      <text>
        <r>
          <rPr>
            <b/>
            <sz val="9"/>
            <color indexed="81"/>
            <rFont val="Tahoma"/>
            <family val="2"/>
          </rPr>
          <t>Kelvin:</t>
        </r>
        <r>
          <rPr>
            <sz val="9"/>
            <color indexed="81"/>
            <rFont val="Tahoma"/>
            <family val="2"/>
          </rPr>
          <t xml:space="preserve">
During the quarter ended June 30, 2024, the net exceptional gain
of Rs 7,350 million, comprises of gain of Rs. 13,991 million on
account of favorable judgement by the Hon’ble Supreme Court of
India regarding the waiver of interest on tax treatment of adjusted
revenue linked variable license fee payable to DOT, gain of Rs
2,746 million pertaining to the divestment of Airtel Lanka, offset by
a charge on account of foreign exchange loss(net) of Rs 9,387
million as a result of currency devaluation in its group subsidiaries.</t>
        </r>
      </text>
    </comment>
    <comment ref="BC35" authorId="1" shapeId="0" xr:uid="{587CCD65-8CC9-4B0A-AF07-C8722AD9BCF0}">
      <text>
        <r>
          <rPr>
            <b/>
            <sz val="9"/>
            <color indexed="81"/>
            <rFont val="Tahoma"/>
            <family val="2"/>
          </rPr>
          <t>Kelvin:</t>
        </r>
        <r>
          <rPr>
            <sz val="9"/>
            <color indexed="81"/>
            <rFont val="Tahoma"/>
            <family val="2"/>
          </rPr>
          <t xml:space="preserve">
the exceptional loss
of Rs. 8,537 million is on account of foreign exchange loss(net) due
to currency devaluation in its group subsidiaries. The net tax credit
on above exceptional item is Rs. 2,943 million. The net charge
allocated to non-controlling interest on the above exceptional items
is Rs. 2,411 million</t>
        </r>
      </text>
    </comment>
    <comment ref="AK56" authorId="0" shapeId="0" xr:uid="{F074AE6D-59C2-4A60-AA4C-5F32B27F0209}">
      <text>
        <r>
          <rPr>
            <sz val="9"/>
            <color indexed="81"/>
            <rFont val="Tahoma"/>
            <family val="2"/>
          </rPr>
          <t>Small accounting change impact in DTH, 16.3% on a comp basis</t>
        </r>
      </text>
    </comment>
    <comment ref="AK59" authorId="0" shapeId="0" xr:uid="{00000000-0006-0000-0100-00000B000000}">
      <text>
        <r>
          <rPr>
            <sz val="9"/>
            <color indexed="81"/>
            <rFont val="Tahoma"/>
            <family val="2"/>
          </rPr>
          <t>Small accounting change impact in DTH, 16.3% on a comp basis</t>
        </r>
      </text>
    </comment>
    <comment ref="AI78" authorId="2" shapeId="0" xr:uid="{00000000-0006-0000-0100-00000C000000}">
      <text>
        <r>
          <rPr>
            <sz val="9"/>
            <color indexed="81"/>
            <rFont val="Tahoma"/>
            <family val="2"/>
          </rPr>
          <t xml:space="preserve">
c.20% u/l we estimate</t>
        </r>
      </text>
    </comment>
    <comment ref="AJ78" authorId="2" shapeId="0" xr:uid="{00000000-0006-0000-0100-00000D000000}">
      <text>
        <r>
          <rPr>
            <sz val="9"/>
            <color indexed="81"/>
            <rFont val="Tahoma"/>
            <family val="2"/>
          </rPr>
          <t xml:space="preserve">
c.25% u/l we estimate</t>
        </r>
      </text>
    </comment>
    <comment ref="AK78" authorId="0" shapeId="0" xr:uid="{00000000-0006-0000-0100-00000E000000}">
      <text>
        <r>
          <rPr>
            <sz val="9"/>
            <color indexed="81"/>
            <rFont val="Tahoma"/>
            <family val="2"/>
          </rPr>
          <t xml:space="preserve">
We estimate 32%</t>
        </r>
      </text>
    </comment>
    <comment ref="BA88" authorId="1" shapeId="0" xr:uid="{8361E815-AE36-4493-8ECE-43A39C40DE57}">
      <text>
        <r>
          <rPr>
            <b/>
            <sz val="9"/>
            <color indexed="81"/>
            <rFont val="Tahoma"/>
            <family val="2"/>
          </rPr>
          <t>Kelvin:</t>
        </r>
        <r>
          <rPr>
            <sz val="9"/>
            <color indexed="81"/>
            <rFont val="Tahoma"/>
            <family val="2"/>
          </rPr>
          <t xml:space="preserve">
in crore, from quarterly highlights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author>
  </authors>
  <commentList>
    <comment ref="AH29" authorId="0" shapeId="0" xr:uid="{00000000-0006-0000-0200-000001000000}">
      <text>
        <r>
          <rPr>
            <sz val="9"/>
            <color indexed="81"/>
            <rFont val="Tahoma"/>
            <family val="2"/>
          </rPr>
          <t xml:space="preserve">
Was 19,292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Casper Erskine</author>
  </authors>
  <commentList>
    <comment ref="U112" authorId="0" shapeId="0" xr:uid="{00000000-0006-0000-0300-000001000000}">
      <text>
        <r>
          <rPr>
            <b/>
            <sz val="9"/>
            <color indexed="81"/>
            <rFont val="Tahoma"/>
            <family val="2"/>
          </rPr>
          <t>Casper Erskine:</t>
        </r>
        <r>
          <rPr>
            <sz val="9"/>
            <color indexed="81"/>
            <rFont val="Tahoma"/>
            <family val="2"/>
          </rPr>
          <t xml:space="preserve">
Videcom purchase</t>
        </r>
      </text>
    </comment>
    <comment ref="V112" authorId="0" shapeId="0" xr:uid="{00000000-0006-0000-0300-000002000000}">
      <text>
        <r>
          <rPr>
            <b/>
            <sz val="9"/>
            <color indexed="81"/>
            <rFont val="Tahoma"/>
            <family val="2"/>
          </rPr>
          <t>Casper Erskine:</t>
        </r>
        <r>
          <rPr>
            <sz val="9"/>
            <color indexed="81"/>
            <rFont val="Tahoma"/>
            <family val="2"/>
          </rPr>
          <t xml:space="preserve">
Aircel Purchase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David-Mickael Lopes</author>
    <author>David</author>
  </authors>
  <commentList>
    <comment ref="AJ4" authorId="0" shapeId="0" xr:uid="{00000000-0006-0000-0400-000001000000}">
      <text>
        <r>
          <rPr>
            <sz val="9"/>
            <color indexed="81"/>
            <rFont val="Tahoma"/>
            <family val="2"/>
          </rPr>
          <t>Change of reporting. Was 115,362 ex this change</t>
        </r>
      </text>
    </comment>
    <comment ref="AK6" authorId="1" shapeId="0" xr:uid="{00000000-0006-0000-0400-000002000000}">
      <text>
        <r>
          <rPr>
            <sz val="9"/>
            <color indexed="81"/>
            <rFont val="Tahoma"/>
            <family val="2"/>
          </rPr>
          <t xml:space="preserve">
8,022 ex accounting changes</t>
        </r>
      </text>
    </comment>
    <comment ref="AJ16" authorId="0" shapeId="0" xr:uid="{00000000-0006-0000-0400-000003000000}">
      <text>
        <r>
          <rPr>
            <sz val="9"/>
            <color indexed="81"/>
            <rFont val="Tahoma"/>
            <family val="2"/>
          </rPr>
          <t xml:space="preserve">
Change of reporting. Was 42,552 ex this change</t>
        </r>
      </text>
    </comment>
    <comment ref="AJ17" authorId="0" shapeId="0" xr:uid="{00000000-0006-0000-0400-000004000000}">
      <text>
        <r>
          <rPr>
            <sz val="9"/>
            <color indexed="81"/>
            <rFont val="Tahoma"/>
            <family val="2"/>
          </rPr>
          <t xml:space="preserve">
Change of reporting. Was 2,774 ex this change</t>
        </r>
      </text>
    </comment>
    <comment ref="AK18" authorId="1" shapeId="0" xr:uid="{00000000-0006-0000-0400-000005000000}">
      <text>
        <r>
          <rPr>
            <sz val="9"/>
            <color indexed="81"/>
            <rFont val="Tahoma"/>
            <family val="2"/>
          </rPr>
          <t xml:space="preserve">
5,436 ex accounting changes</t>
        </r>
      </text>
    </comment>
    <comment ref="AJ19" authorId="0" shapeId="0" xr:uid="{00000000-0006-0000-0400-000006000000}">
      <text>
        <r>
          <rPr>
            <sz val="9"/>
            <color indexed="81"/>
            <rFont val="Tahoma"/>
            <family val="2"/>
          </rPr>
          <t xml:space="preserve">
Change of reporting. Was 9,401 ex this change</t>
        </r>
      </text>
    </comment>
    <comment ref="AK53" authorId="1" shapeId="0" xr:uid="{00000000-0006-0000-0400-000007000000}">
      <text>
        <r>
          <rPr>
            <sz val="9"/>
            <color indexed="81"/>
            <rFont val="Tahoma"/>
            <family val="2"/>
          </rPr>
          <t xml:space="preserve">
16.1% clean</t>
        </r>
      </text>
    </comment>
    <comment ref="AK56" authorId="1" shapeId="0" xr:uid="{00000000-0006-0000-0400-000008000000}">
      <text>
        <r>
          <rPr>
            <sz val="9"/>
            <color indexed="81"/>
            <rFont val="Tahoma"/>
            <family val="2"/>
          </rPr>
          <t>43.9% clean</t>
        </r>
      </text>
    </comment>
    <comment ref="AI61" authorId="0" shapeId="0" xr:uid="{00000000-0006-0000-0400-000009000000}">
      <text>
        <r>
          <rPr>
            <sz val="9"/>
            <color indexed="81"/>
            <rFont val="Tahoma"/>
            <family val="2"/>
          </rPr>
          <t xml:space="preserve">
c.20% u/l we estimate</t>
        </r>
      </text>
    </comment>
    <comment ref="AJ61" authorId="0" shapeId="0" xr:uid="{00000000-0006-0000-0400-00000A000000}">
      <text>
        <r>
          <rPr>
            <sz val="9"/>
            <color indexed="81"/>
            <rFont val="Tahoma"/>
            <family val="2"/>
          </rPr>
          <t xml:space="preserve">
c.25% u/l we estimate</t>
        </r>
      </text>
    </comment>
    <comment ref="AK61" authorId="0" shapeId="0" xr:uid="{00000000-0006-0000-0400-00000B000000}">
      <text>
        <r>
          <rPr>
            <sz val="9"/>
            <color indexed="81"/>
            <rFont val="Tahoma"/>
            <family val="2"/>
          </rPr>
          <t xml:space="preserve">
c.25% u/l we estimate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Kelvin</author>
    <author>David</author>
  </authors>
  <commentList>
    <comment ref="AU7" authorId="0" shapeId="0" xr:uid="{2F41E4A4-DBF1-43CA-8139-C7C8FA20360E}">
      <text>
        <r>
          <rPr>
            <b/>
            <sz val="9"/>
            <color indexed="81"/>
            <rFont val="Tahoma"/>
            <family val="2"/>
          </rPr>
          <t>Kelvin:</t>
        </r>
        <r>
          <rPr>
            <sz val="9"/>
            <color indexed="81"/>
            <rFont val="Tahoma"/>
            <family val="2"/>
          </rPr>
          <t xml:space="preserve">
(Mobile subs - postpaid) / Mobile subs</t>
        </r>
      </text>
    </comment>
    <comment ref="AV7" authorId="0" shapeId="0" xr:uid="{1D2CE958-AE2D-4A6F-ADA4-43C2E52D51EE}">
      <text>
        <r>
          <rPr>
            <b/>
            <sz val="9"/>
            <color indexed="81"/>
            <rFont val="Tahoma"/>
            <family val="2"/>
          </rPr>
          <t>Kelvin:</t>
        </r>
        <r>
          <rPr>
            <sz val="9"/>
            <color indexed="81"/>
            <rFont val="Tahoma"/>
            <family val="2"/>
          </rPr>
          <t xml:space="preserve">
(Mobile subs - postpaid) / Mobile subs</t>
        </r>
      </text>
    </comment>
    <comment ref="AL18" authorId="1" shapeId="0" xr:uid="{00000000-0006-0000-0700-000001000000}">
      <text>
        <r>
          <rPr>
            <sz val="9"/>
            <color indexed="81"/>
            <rFont val="Tahoma"/>
            <family val="2"/>
          </rPr>
          <t xml:space="preserve">
Not reported this Q</t>
        </r>
      </text>
    </comment>
    <comment ref="AO48" authorId="1" shapeId="0" xr:uid="{FA7E62DA-21F6-4BAD-B59A-1BEA97DC7B46}">
      <text>
        <r>
          <rPr>
            <sz val="9"/>
            <color indexed="81"/>
            <rFont val="Tahoma"/>
            <family val="2"/>
          </rPr>
          <t xml:space="preserve">
'+19% when restated for IUC (Interconnection Charge)</t>
        </r>
      </text>
    </comment>
    <comment ref="AP48" authorId="1" shapeId="0" xr:uid="{7C7A570E-8AE4-4409-BD7F-3BE41501A994}">
      <text>
        <r>
          <rPr>
            <sz val="9"/>
            <color indexed="81"/>
            <rFont val="Tahoma"/>
            <family val="2"/>
          </rPr>
          <t xml:space="preserve">
'+22% when restated for IUC (Interconnection Charge)</t>
        </r>
      </text>
    </comment>
    <comment ref="AQ48" authorId="1" shapeId="0" xr:uid="{0CD144DE-7274-436B-962D-09798B5D6F88}">
      <text>
        <r>
          <rPr>
            <sz val="9"/>
            <color indexed="81"/>
            <rFont val="Tahoma"/>
            <family val="2"/>
          </rPr>
          <t xml:space="preserve">
'+20.3% when restated for IUC (Interconnection Charge)</t>
        </r>
      </text>
    </comment>
    <comment ref="AR48" authorId="1" shapeId="0" xr:uid="{B7B05959-0963-4393-A261-2AA83F980996}">
      <text>
        <r>
          <rPr>
            <sz val="9"/>
            <color indexed="81"/>
            <rFont val="Tahoma"/>
            <family val="2"/>
          </rPr>
          <t xml:space="preserve">
'+19.1% when restated for IUC (Interconnection Charge)</t>
        </r>
      </text>
    </comment>
    <comment ref="AO65" authorId="1" shapeId="0" xr:uid="{A4C8B305-E19C-4740-94A7-8F76731206E2}">
      <text>
        <r>
          <rPr>
            <sz val="9"/>
            <color indexed="81"/>
            <rFont val="Tahoma"/>
            <family val="2"/>
          </rPr>
          <t>+7.6% ex IUC
Overall ARPU for the quarter was
Rs 145 as compared to Rs 135 (Recasted) in the corresponding
quarter last year.</t>
        </r>
      </text>
    </comment>
    <comment ref="AP65" authorId="1" shapeId="0" xr:uid="{98C3C70C-856D-4051-B65E-A6A13E5AB0DA}">
      <text>
        <r>
          <rPr>
            <sz val="9"/>
            <color indexed="81"/>
            <rFont val="Tahoma"/>
            <family val="2"/>
          </rPr>
          <t xml:space="preserve">+6% ex IUC
</t>
        </r>
      </text>
    </comment>
    <comment ref="AQ65" authorId="1" shapeId="0" xr:uid="{E96846F8-4347-411F-8151-BCBD1AF92468}">
      <text>
        <r>
          <rPr>
            <sz val="9"/>
            <color indexed="81"/>
            <rFont val="Tahoma"/>
            <family val="2"/>
          </rPr>
          <t xml:space="preserve">+7% ex IUC
</t>
        </r>
      </text>
    </comment>
    <comment ref="AR65" authorId="1" shapeId="0" xr:uid="{30F0FFE8-990A-420C-AD3A-041A97EDCD35}">
      <text>
        <r>
          <rPr>
            <sz val="9"/>
            <color indexed="81"/>
            <rFont val="Tahoma"/>
            <family val="2"/>
          </rPr>
          <t xml:space="preserve">+11% ex IUC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Kelvin</author>
    <author>David-Mickael Lopes</author>
    <author>David</author>
  </authors>
  <commentList>
    <comment ref="AR3" authorId="0" shapeId="0" xr:uid="{5EE484BD-4162-42FA-AD7A-F79299E2B0D9}">
      <text>
        <r>
          <rPr>
            <b/>
            <sz val="9"/>
            <color indexed="81"/>
            <rFont val="Tahoma"/>
            <family val="2"/>
          </rPr>
          <t>Kelvin:</t>
        </r>
        <r>
          <rPr>
            <sz val="9"/>
            <color indexed="81"/>
            <rFont val="Tahoma"/>
            <family val="2"/>
          </rPr>
          <t xml:space="preserve">
Pursuant to merger of Telesonic Networks Limited with Bharti Airtel Limited, segment financials for prior periods have been restated for like to like comparison</t>
        </r>
      </text>
    </comment>
    <comment ref="AJ4" authorId="1" shapeId="0" xr:uid="{00000000-0006-0000-0600-000001000000}">
      <text>
        <r>
          <rPr>
            <sz val="9"/>
            <color indexed="81"/>
            <rFont val="Tahoma"/>
            <family val="2"/>
          </rPr>
          <t>Change of reporting. Was 115,362 ex this change</t>
        </r>
      </text>
    </comment>
    <comment ref="AJ6" authorId="1" shapeId="0" xr:uid="{00000000-0006-0000-0600-000002000000}">
      <text>
        <r>
          <rPr>
            <sz val="9"/>
            <color indexed="81"/>
            <rFont val="Tahoma"/>
            <family val="2"/>
          </rPr>
          <t>Change of reporting. Was 42,552 ex this change</t>
        </r>
      </text>
    </comment>
    <comment ref="AJ8" authorId="1" shapeId="0" xr:uid="{00000000-0006-0000-0600-000003000000}">
      <text>
        <r>
          <rPr>
            <sz val="9"/>
            <color indexed="81"/>
            <rFont val="Tahoma"/>
            <family val="2"/>
          </rPr>
          <t>Change of reporting. Was -8,770 ex this change</t>
        </r>
      </text>
    </comment>
    <comment ref="AJ15" authorId="1" shapeId="0" xr:uid="{00000000-0006-0000-0600-000004000000}">
      <text>
        <r>
          <rPr>
            <sz val="9"/>
            <color indexed="81"/>
            <rFont val="Tahoma"/>
            <family val="2"/>
          </rPr>
          <t xml:space="preserve">
13.2% ex acc change</t>
        </r>
      </text>
    </comment>
    <comment ref="AO15" authorId="2" shapeId="0" xr:uid="{D8DC0863-1BFC-442F-BA85-4A602B9C30C2}">
      <text>
        <r>
          <rPr>
            <sz val="9"/>
            <color indexed="81"/>
            <rFont val="Tahoma"/>
            <family val="2"/>
          </rPr>
          <t xml:space="preserve">
'+19% when restated for IUC (Interconnection Charge)</t>
        </r>
      </text>
    </comment>
    <comment ref="AP15" authorId="2" shapeId="0" xr:uid="{EC1B1196-BCCB-4F62-9BE6-1152A6FA7EB3}">
      <text>
        <r>
          <rPr>
            <sz val="9"/>
            <color indexed="81"/>
            <rFont val="Tahoma"/>
            <family val="2"/>
          </rPr>
          <t xml:space="preserve">
'+22% when restated for IUC (Interconnection Charge)</t>
        </r>
      </text>
    </comment>
    <comment ref="AQ15" authorId="2" shapeId="0" xr:uid="{627077B4-5DDA-44BF-A65E-F242BE5E7DD2}">
      <text>
        <r>
          <rPr>
            <sz val="9"/>
            <color indexed="81"/>
            <rFont val="Tahoma"/>
            <family val="2"/>
          </rPr>
          <t xml:space="preserve">
'+20% when restated for IUC (Interconnection Charge)</t>
        </r>
      </text>
    </comment>
    <comment ref="AR15" authorId="2" shapeId="0" xr:uid="{95D26FD5-AEC9-4A58-BDC4-29D5641A6509}">
      <text>
        <r>
          <rPr>
            <sz val="9"/>
            <color indexed="81"/>
            <rFont val="Tahoma"/>
            <family val="2"/>
          </rPr>
          <t xml:space="preserve">
'+19% when restated for IUC (Interconnection Charge)</t>
        </r>
      </text>
    </comment>
    <comment ref="AJ16" authorId="1" shapeId="0" xr:uid="{00000000-0006-0000-0600-000005000000}">
      <text>
        <r>
          <rPr>
            <sz val="9"/>
            <color indexed="81"/>
            <rFont val="Tahoma"/>
            <family val="2"/>
          </rPr>
          <t xml:space="preserve">
5.1% ex acc change</t>
        </r>
      </text>
    </comment>
    <comment ref="AJ18" authorId="1" shapeId="0" xr:uid="{00000000-0006-0000-0600-000006000000}">
      <text>
        <r>
          <rPr>
            <sz val="9"/>
            <color indexed="81"/>
            <rFont val="Tahoma"/>
            <family val="2"/>
          </rPr>
          <t xml:space="preserve">
118% ex acc change</t>
        </r>
      </text>
    </comment>
    <comment ref="AJ19" authorId="1" shapeId="0" xr:uid="{00000000-0006-0000-0600-000007000000}">
      <text>
        <r>
          <rPr>
            <sz val="9"/>
            <color indexed="81"/>
            <rFont val="Tahoma"/>
            <family val="2"/>
          </rPr>
          <t xml:space="preserve">
6.6% ex acc change</t>
        </r>
      </text>
    </comment>
    <comment ref="AJ21" authorId="1" shapeId="0" xr:uid="{00000000-0006-0000-0600-000008000000}">
      <text>
        <r>
          <rPr>
            <sz val="9"/>
            <color indexed="81"/>
            <rFont val="Tahoma"/>
            <family val="2"/>
          </rPr>
          <t xml:space="preserve">
36.9% ex acc change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David</author>
    <author>Kelvin</author>
  </authors>
  <commentList>
    <comment ref="AK15" authorId="0" shapeId="0" xr:uid="{00000000-0006-0000-0800-000001000000}">
      <text>
        <r>
          <rPr>
            <sz val="9"/>
            <color indexed="81"/>
            <rFont val="Tahoma"/>
            <family val="2"/>
          </rPr>
          <t xml:space="preserve">
12,276 on a comp basis</t>
        </r>
      </text>
    </comment>
    <comment ref="AS24" authorId="1" shapeId="0" xr:uid="{5B667DD4-4665-4BB2-B823-67065DB87E15}">
      <text>
        <r>
          <rPr>
            <b/>
            <sz val="9"/>
            <color indexed="81"/>
            <rFont val="Tahoma"/>
            <family val="2"/>
          </rPr>
          <t>Kelvin:</t>
        </r>
        <r>
          <rPr>
            <sz val="9"/>
            <color indexed="81"/>
            <rFont val="Tahoma"/>
            <family val="2"/>
          </rPr>
          <t xml:space="preserve">
post merger with Telesonic Network </t>
        </r>
      </text>
    </comment>
    <comment ref="AJ78" authorId="0" shapeId="0" xr:uid="{00000000-0006-0000-0800-000002000000}">
      <text>
        <r>
          <rPr>
            <sz val="9"/>
            <color indexed="81"/>
            <rFont val="Tahoma"/>
            <family val="2"/>
          </rPr>
          <t xml:space="preserve">
+10% on a comp basis</t>
        </r>
      </text>
    </comment>
    <comment ref="AK78" authorId="0" shapeId="0" xr:uid="{00000000-0006-0000-0800-000003000000}">
      <text>
        <r>
          <rPr>
            <sz val="9"/>
            <color indexed="81"/>
            <rFont val="Tahoma"/>
            <family val="2"/>
          </rPr>
          <t xml:space="preserve">
+17% on a comp basis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<sst xmlns="http://schemas.openxmlformats.org/spreadsheetml/2006/main" count="1374" uniqueCount="901">
  <si>
    <t>Q1 12</t>
  </si>
  <si>
    <t>Q2 12</t>
  </si>
  <si>
    <t>Q3 12</t>
  </si>
  <si>
    <t>Q4 12</t>
  </si>
  <si>
    <t>Q1 13</t>
  </si>
  <si>
    <t>Q2 13</t>
  </si>
  <si>
    <t>Q3 13</t>
  </si>
  <si>
    <t>Q4 13</t>
  </si>
  <si>
    <t>Q1 14</t>
  </si>
  <si>
    <t>Q2 14</t>
  </si>
  <si>
    <t>Q3 14</t>
  </si>
  <si>
    <t>Q4 14</t>
  </si>
  <si>
    <t>Q1 15</t>
  </si>
  <si>
    <t>Q2 15</t>
  </si>
  <si>
    <t>Q3 15</t>
  </si>
  <si>
    <t>Q4 15</t>
  </si>
  <si>
    <t>Q1 16</t>
  </si>
  <si>
    <t>Q2 16</t>
  </si>
  <si>
    <t>Q3 16</t>
  </si>
  <si>
    <t>Q4 16</t>
  </si>
  <si>
    <t>Q1 17</t>
  </si>
  <si>
    <t>Mobile</t>
  </si>
  <si>
    <t>Voice</t>
  </si>
  <si>
    <t>Revenues</t>
  </si>
  <si>
    <t>Q2 17</t>
  </si>
  <si>
    <t>Q3 17</t>
  </si>
  <si>
    <t>Q4 17</t>
  </si>
  <si>
    <t>BHARTI QUARTERLY SHEET</t>
  </si>
  <si>
    <t>Domestic Mobile</t>
  </si>
  <si>
    <t>Homes Services</t>
  </si>
  <si>
    <t>Digital TV</t>
  </si>
  <si>
    <t>Airtel Enterprise</t>
  </si>
  <si>
    <t>Tower Infratructure</t>
  </si>
  <si>
    <t>South Asia</t>
  </si>
  <si>
    <t>Africa</t>
  </si>
  <si>
    <t>Intersegement and other</t>
  </si>
  <si>
    <t>REVENUES</t>
  </si>
  <si>
    <t>EBITDA</t>
  </si>
  <si>
    <t>EBIT</t>
  </si>
  <si>
    <t>Capex</t>
  </si>
  <si>
    <t>OpFCF</t>
  </si>
  <si>
    <t>Other India</t>
  </si>
  <si>
    <t>Towers</t>
  </si>
  <si>
    <t>Consolidated Revenue Growth (YoY)</t>
  </si>
  <si>
    <t>Consolidated Revenue Growth (QoQ)</t>
  </si>
  <si>
    <t>Consolidated EBITDA margin</t>
  </si>
  <si>
    <t>Margin growth YoY</t>
  </si>
  <si>
    <t>Margin growth QoQ</t>
  </si>
  <si>
    <t>Capex Growth YoY</t>
  </si>
  <si>
    <t>Capex as % of sales</t>
  </si>
  <si>
    <t>OpFCF growth YoY</t>
  </si>
  <si>
    <t>Consolidated EBITDA growth (YoY)</t>
  </si>
  <si>
    <t>Consolidated EBITDA growth (QoQ)</t>
  </si>
  <si>
    <t>DOMESTIC MOBILE FINANCIALS (Page 8)</t>
  </si>
  <si>
    <t>Total Revenues</t>
  </si>
  <si>
    <t>Domestic Mobile Growth Lines</t>
  </si>
  <si>
    <t>EBITDA Margin</t>
  </si>
  <si>
    <t>Total Revenue Growth YoY</t>
  </si>
  <si>
    <t>Total Revenue Growth QoQ</t>
  </si>
  <si>
    <t>EBITDA Growth YoY</t>
  </si>
  <si>
    <t>EBITDA Growth QoQ</t>
  </si>
  <si>
    <t>EBITDA Margin Growth YoY</t>
  </si>
  <si>
    <t>Implied Depreciation</t>
  </si>
  <si>
    <t>Depreciation Growth</t>
  </si>
  <si>
    <t>DTV</t>
  </si>
  <si>
    <t>Airtel Business</t>
  </si>
  <si>
    <t>Homes Services Revenue Growth YoY</t>
  </si>
  <si>
    <t>DTV Revenue Growth YoY</t>
  </si>
  <si>
    <t>Towers Revenue Growth YoY</t>
  </si>
  <si>
    <t>Homes Services EBITDA Growth YoY</t>
  </si>
  <si>
    <t>DTV EBITDA Growth YoY</t>
  </si>
  <si>
    <t>Towers EBITDA Growth YoY</t>
  </si>
  <si>
    <t>Homes Services EBITDA Margin</t>
  </si>
  <si>
    <t>DTV EBITDA Margin</t>
  </si>
  <si>
    <t>Towers EBITDA Margin</t>
  </si>
  <si>
    <t>Homes Services EBITDA Margin Growth YoY</t>
  </si>
  <si>
    <t>DTV EBITDA Margin Growth YoY</t>
  </si>
  <si>
    <t>Towers EBITDA Margin Growth YoY</t>
  </si>
  <si>
    <t>Towers as % of revenues</t>
  </si>
  <si>
    <t>Towers Contribution to EBITDA</t>
  </si>
  <si>
    <t>Towers capex as % of sales</t>
  </si>
  <si>
    <t>Towers OpFCF</t>
  </si>
  <si>
    <t>Africa (Page 41)</t>
  </si>
  <si>
    <t>South Asia Revenue Growth YoY</t>
  </si>
  <si>
    <t>Africa Revenue Growth YoY</t>
  </si>
  <si>
    <t>South Asia EBITDA Growth YoY</t>
  </si>
  <si>
    <t>Africa EBITDA Growth YoY</t>
  </si>
  <si>
    <t>South Asia EBITDA margin Growth YoY</t>
  </si>
  <si>
    <t>Africa EBITDA margin Growth YoY</t>
  </si>
  <si>
    <t>Africa EBITDA margin</t>
  </si>
  <si>
    <t>South Asia EBITDA margin</t>
  </si>
  <si>
    <t>International Contribution to Revenues</t>
  </si>
  <si>
    <t>Africa Contribtuion to Revenues</t>
  </si>
  <si>
    <t>International Contribution to EBITDA</t>
  </si>
  <si>
    <t>Africa Contribtuion to EBITDA</t>
  </si>
  <si>
    <t>International OpFCF</t>
  </si>
  <si>
    <t>Africa OpFCF</t>
  </si>
  <si>
    <t>DOMESTIC MOBILE Operations (Page 15)</t>
  </si>
  <si>
    <t>Subscribers</t>
  </si>
  <si>
    <t>Net Adds</t>
  </si>
  <si>
    <t>Voice - Total MoU</t>
  </si>
  <si>
    <t>Voice - Average ARPU</t>
  </si>
  <si>
    <t>Voice - MoU</t>
  </si>
  <si>
    <t>Voice - Yield/min</t>
  </si>
  <si>
    <t>Data as % of revenue</t>
  </si>
  <si>
    <t>SMS and VAS</t>
  </si>
  <si>
    <t xml:space="preserve">Mobile Internet </t>
  </si>
  <si>
    <t>Other</t>
  </si>
  <si>
    <t>Data Customers</t>
  </si>
  <si>
    <t>Data - Data ARPU</t>
  </si>
  <si>
    <t>Data - Data yield</t>
  </si>
  <si>
    <t>Implied voice revenues</t>
  </si>
  <si>
    <t>Implied mobile internet revenue</t>
  </si>
  <si>
    <t>Implied SMS and VAS revenue</t>
  </si>
  <si>
    <t>Implied other revenues</t>
  </si>
  <si>
    <t>Average Subscriber Numbers</t>
  </si>
  <si>
    <t>Subscriber Base Growth YoY</t>
  </si>
  <si>
    <t>Total ARPU Growth (YoY)</t>
  </si>
  <si>
    <t>Mobile Service Revenue Growth YoY</t>
  </si>
  <si>
    <t>Mobile Service Revenue Growth QoQ</t>
  </si>
  <si>
    <t>Total Traffic Growth</t>
  </si>
  <si>
    <t>ARPU Growth</t>
  </si>
  <si>
    <t>Minutes of Use Growth</t>
  </si>
  <si>
    <t>Pricing Growth YoY</t>
  </si>
  <si>
    <t>Pricing Growth QoQ</t>
  </si>
  <si>
    <t>Data Subscriber Base YoY</t>
  </si>
  <si>
    <t>Mobile BB Base YoY</t>
  </si>
  <si>
    <t>Data</t>
  </si>
  <si>
    <t>Mobile Internet</t>
  </si>
  <si>
    <t>Voice QoQ</t>
  </si>
  <si>
    <t>Mobile Internet QoQ</t>
  </si>
  <si>
    <t>Revenue Breakdown YoY</t>
  </si>
  <si>
    <t>OTHER INDIAN Operations (Page 15-16 )</t>
  </si>
  <si>
    <t xml:space="preserve">Home Customers </t>
  </si>
  <si>
    <t>Home BB Customers</t>
  </si>
  <si>
    <t>Non-Voice % of revenues</t>
  </si>
  <si>
    <t>Implied Voice</t>
  </si>
  <si>
    <t>Implied voice Revenues</t>
  </si>
  <si>
    <t>Implied Data Revenues</t>
  </si>
  <si>
    <t>Implied Voice ARPU</t>
  </si>
  <si>
    <t>Implied Data ARPU</t>
  </si>
  <si>
    <t>Digital TV Subscribers</t>
  </si>
  <si>
    <t>Mobile Network stats</t>
  </si>
  <si>
    <t>TOWERS</t>
  </si>
  <si>
    <t>BROADBAND TOWERS</t>
  </si>
  <si>
    <t>Total Towers</t>
  </si>
  <si>
    <t>Total Tenants</t>
  </si>
  <si>
    <t>Tower Adds</t>
  </si>
  <si>
    <t>Tenancy Adds</t>
  </si>
  <si>
    <t>Colocation</t>
  </si>
  <si>
    <t>Colocation of Adds</t>
  </si>
  <si>
    <t>BHARTI INFRATEL STATS (Consoldiated only)</t>
  </si>
  <si>
    <t>Home BB Subscribers YoY</t>
  </si>
  <si>
    <t>Home Subscribers YoY</t>
  </si>
  <si>
    <t>ARPU YoY</t>
  </si>
  <si>
    <t>Implied Voice Revenues</t>
  </si>
  <si>
    <t>Implied Voice ARPU growth YoY</t>
  </si>
  <si>
    <t>Implied Data ARPU growth YoY</t>
  </si>
  <si>
    <t>Digital TV subscribers</t>
  </si>
  <si>
    <t>Digital ARPU growth</t>
  </si>
  <si>
    <t>BB Tower adds</t>
  </si>
  <si>
    <t>Total Towers Growth</t>
  </si>
  <si>
    <t>Total Tenancy growth</t>
  </si>
  <si>
    <t>Sharing Revenue per operator</t>
  </si>
  <si>
    <t>Colocation growth YoY</t>
  </si>
  <si>
    <t>Colocation growth QoQ</t>
  </si>
  <si>
    <t>ARPU growth YoY</t>
  </si>
  <si>
    <t>ARPU growth QoQ</t>
  </si>
  <si>
    <t>Home Services</t>
  </si>
  <si>
    <t>Bharti Infratel Stats</t>
  </si>
  <si>
    <t>INTERNATIONAL OPS DATA (Page 17 )</t>
  </si>
  <si>
    <t>Customer Base</t>
  </si>
  <si>
    <t>Africa (CONSTANT $ unless stated)</t>
  </si>
  <si>
    <t>Implied ARPU (INR)</t>
  </si>
  <si>
    <t>Average Subs</t>
  </si>
  <si>
    <t>Voice - Total Traffic</t>
  </si>
  <si>
    <t>Voice - Average MoU</t>
  </si>
  <si>
    <t>Data as % of revs</t>
  </si>
  <si>
    <t>Messaging and VAS</t>
  </si>
  <si>
    <t>Data - Average Usage</t>
  </si>
  <si>
    <t>Implied Mobile Internet</t>
  </si>
  <si>
    <t>Implied SMS and VAS</t>
  </si>
  <si>
    <t>Implied Other</t>
  </si>
  <si>
    <t>Total Traffic</t>
  </si>
  <si>
    <t>Implied MoU</t>
  </si>
  <si>
    <t>Implied ARPU</t>
  </si>
  <si>
    <t>Total Constant $ ARPU Growth (YoY)</t>
  </si>
  <si>
    <t>Total implied INR ARPU Growth YoY</t>
  </si>
  <si>
    <t>Restated</t>
  </si>
  <si>
    <t>Restatement impact</t>
  </si>
  <si>
    <t>ARPU (Constant $)</t>
  </si>
  <si>
    <t>Data - ARPU (Constant $)</t>
  </si>
  <si>
    <t>Voice - Average ARPU (Implied INR)</t>
  </si>
  <si>
    <t>Data - Yield/MB (Implied INR)</t>
  </si>
  <si>
    <t>Data - Yield/mb ($)</t>
  </si>
  <si>
    <t>Opex Sheet</t>
  </si>
  <si>
    <t>Access charges</t>
  </si>
  <si>
    <t>Licence fees</t>
  </si>
  <si>
    <t>COGS</t>
  </si>
  <si>
    <t>Employee costs</t>
  </si>
  <si>
    <t>SG&amp;A</t>
  </si>
  <si>
    <t>Total costs</t>
  </si>
  <si>
    <t>Total Indian Revenues</t>
  </si>
  <si>
    <t>As a % of sales</t>
  </si>
  <si>
    <t>Network opex (est)</t>
  </si>
  <si>
    <t>YoY growth (%)</t>
  </si>
  <si>
    <t>Other Indian Financials (Page 9)</t>
  </si>
  <si>
    <t>International Financials (Page 10-11 )</t>
  </si>
  <si>
    <t>DETAILED P&amp;L (REPORTED)</t>
  </si>
  <si>
    <t>Comments</t>
  </si>
  <si>
    <t>Income</t>
  </si>
  <si>
    <t>Revenue from operations</t>
  </si>
  <si>
    <t>Other income</t>
  </si>
  <si>
    <t>Finance Income</t>
  </si>
  <si>
    <t>Total Income</t>
  </si>
  <si>
    <t>Expenses</t>
  </si>
  <si>
    <t>Network operating expenses</t>
  </si>
  <si>
    <t>Access Charges</t>
  </si>
  <si>
    <t>License fee / spectrum charges (revenue share)</t>
  </si>
  <si>
    <t>Employee benefits</t>
  </si>
  <si>
    <t>Sales and marketing expenses</t>
  </si>
  <si>
    <t>Other expenses</t>
  </si>
  <si>
    <t>Total Expenses</t>
  </si>
  <si>
    <t>Share of results of joint ventures and associates</t>
  </si>
  <si>
    <t>Depreciation and amortisation</t>
  </si>
  <si>
    <t>Finance costs</t>
  </si>
  <si>
    <t>Net foreign exchange and derivative (gain)/loss</t>
  </si>
  <si>
    <t>Non-operating (income) / expense net</t>
  </si>
  <si>
    <t>Other Expenses</t>
  </si>
  <si>
    <t>Profit before exceptional items and tax</t>
  </si>
  <si>
    <t>Exceptional items</t>
  </si>
  <si>
    <t>Profit before tax</t>
  </si>
  <si>
    <t>Tax expense</t>
  </si>
  <si>
    <t>Current tax</t>
  </si>
  <si>
    <t>Deferred tax</t>
  </si>
  <si>
    <t>Profit for the period</t>
  </si>
  <si>
    <t>Non-current assets</t>
  </si>
  <si>
    <t>Property, plant and equipment</t>
  </si>
  <si>
    <t>Capital work-in-progress</t>
  </si>
  <si>
    <t>Other intangible assets</t>
  </si>
  <si>
    <t>Intangible assets under development</t>
  </si>
  <si>
    <t>Investment in joint ventures and associates</t>
  </si>
  <si>
    <t>Financial Assets</t>
  </si>
  <si>
    <t>- Investments</t>
  </si>
  <si>
    <t>- Derivative instruments</t>
  </si>
  <si>
    <t>- Trade receivables</t>
  </si>
  <si>
    <t>- Loans and security deposits</t>
  </si>
  <si>
    <t>- Others</t>
  </si>
  <si>
    <t>Deferred tax assets (net)</t>
  </si>
  <si>
    <t>Other non-current assets</t>
  </si>
  <si>
    <t>Current assets</t>
  </si>
  <si>
    <t>Inventories</t>
  </si>
  <si>
    <t>- Cash and cash equivalents</t>
  </si>
  <si>
    <t>- Bank deposits</t>
  </si>
  <si>
    <t xml:space="preserve"> - Receivable from sale of tower assets</t>
  </si>
  <si>
    <t xml:space="preserve"> - Others</t>
  </si>
  <si>
    <t>Current tax assets</t>
  </si>
  <si>
    <t>Other current assets</t>
  </si>
  <si>
    <t>Assets-held-for-sale</t>
  </si>
  <si>
    <t>Total Assets</t>
  </si>
  <si>
    <t>Equity and liabilities</t>
  </si>
  <si>
    <t xml:space="preserve">Equity  </t>
  </si>
  <si>
    <t>Share capital</t>
  </si>
  <si>
    <t>Other Equity</t>
  </si>
  <si>
    <t>Equity attributable to owners of the Parent</t>
  </si>
  <si>
    <t>Non-controlling interests ('NCI')</t>
  </si>
  <si>
    <t>Non-current liabilities</t>
  </si>
  <si>
    <t>Financial Liabilities</t>
  </si>
  <si>
    <t xml:space="preserve"> - Borrowings</t>
  </si>
  <si>
    <t xml:space="preserve"> - Derivative instruments</t>
  </si>
  <si>
    <t>Deferred revenue</t>
  </si>
  <si>
    <t>Provisions</t>
  </si>
  <si>
    <t>Deferred tax liabilities (net)</t>
  </si>
  <si>
    <t>Other non-current liabilities</t>
  </si>
  <si>
    <t>Current liabilities</t>
  </si>
  <si>
    <t xml:space="preserve"> - Current maturities of long term borrowings</t>
  </si>
  <si>
    <t xml:space="preserve"> - Trade Payables</t>
  </si>
  <si>
    <t xml:space="preserve">Current tax liabilities (net) </t>
  </si>
  <si>
    <t>Other current liabilities</t>
  </si>
  <si>
    <t>Liabilities-held-for-sale</t>
  </si>
  <si>
    <t>Total liabilities</t>
  </si>
  <si>
    <t>Total equity and liabilities</t>
  </si>
  <si>
    <t xml:space="preserve">Adjustments for - </t>
  </si>
  <si>
    <t xml:space="preserve">     Depreciation and amortisation</t>
  </si>
  <si>
    <t xml:space="preserve">     Finance costs</t>
  </si>
  <si>
    <t xml:space="preserve">     Finance income</t>
  </si>
  <si>
    <t xml:space="preserve">     Share of results of joint ventures and associates</t>
  </si>
  <si>
    <t xml:space="preserve">     Exceptional items</t>
  </si>
  <si>
    <t xml:space="preserve">     Employee share-based payment expenses</t>
  </si>
  <si>
    <t xml:space="preserve">     Other non-cash items</t>
  </si>
  <si>
    <t>Operating cash flow before changes in working capital</t>
  </si>
  <si>
    <t xml:space="preserve">Changes in working capital - </t>
  </si>
  <si>
    <t xml:space="preserve">     Trade receivables</t>
  </si>
  <si>
    <t xml:space="preserve">     Trade payables</t>
  </si>
  <si>
    <t xml:space="preserve">     Inventories</t>
  </si>
  <si>
    <t xml:space="preserve">     Provisions</t>
  </si>
  <si>
    <t xml:space="preserve">     Other financial and non financial liabilities</t>
  </si>
  <si>
    <t xml:space="preserve">     Other financial and non financial assets</t>
  </si>
  <si>
    <t>Net cash generated from operations before tax and dividend</t>
  </si>
  <si>
    <t xml:space="preserve">     Dividend received</t>
  </si>
  <si>
    <t xml:space="preserve">     Income tax paid</t>
  </si>
  <si>
    <t xml:space="preserve">Net cash generated from operating activities (a) </t>
  </si>
  <si>
    <t>Cash flows from investing activities</t>
  </si>
  <si>
    <t xml:space="preserve">     Purchase of property, plant and equipment</t>
  </si>
  <si>
    <t xml:space="preserve">     Proceeds from sale of property, plant and equipment </t>
  </si>
  <si>
    <t xml:space="preserve">     Purchase of intangible assets</t>
  </si>
  <si>
    <t xml:space="preserve">     Net movement in current investments</t>
  </si>
  <si>
    <t xml:space="preserve">     Purchase of non-current investments</t>
  </si>
  <si>
    <t xml:space="preserve">     Sale of non-current investments</t>
  </si>
  <si>
    <t xml:space="preserve">     Investment in subsidiary, net of cash acquired</t>
  </si>
  <si>
    <t xml:space="preserve">     Sale of subsidiary</t>
  </si>
  <si>
    <t xml:space="preserve">     Sale of tower assets</t>
  </si>
  <si>
    <t xml:space="preserve">     Investment in associate / joint venture</t>
  </si>
  <si>
    <t xml:space="preserve">     Proceeds from sale of interest in associate and joint venture</t>
  </si>
  <si>
    <t xml:space="preserve">     Loan to joint venture / associate</t>
  </si>
  <si>
    <t xml:space="preserve">     Loan repayment received from joint venture / associate</t>
  </si>
  <si>
    <t xml:space="preserve">     Interest received</t>
  </si>
  <si>
    <t>Net cash (used in) / generated from investing activities (b)</t>
  </si>
  <si>
    <t>Cash flows from financing activities</t>
  </si>
  <si>
    <t xml:space="preserve">     Proceeds from borrowings</t>
  </si>
  <si>
    <t xml:space="preserve">     Repayment of borrowings</t>
  </si>
  <si>
    <t xml:space="preserve">     Net proceeds from short term borrowings</t>
  </si>
  <si>
    <t xml:space="preserve">     Proceeds from sale and finance leaseback of towers</t>
  </si>
  <si>
    <t xml:space="preserve">     Repayment of finance lease liabilities</t>
  </si>
  <si>
    <t xml:space="preserve">     Group Company borrowings</t>
  </si>
  <si>
    <t xml:space="preserve">     Advance against equity</t>
  </si>
  <si>
    <t xml:space="preserve">     Purchase of treasury shares</t>
  </si>
  <si>
    <t xml:space="preserve">     Interest and other finance charges paid</t>
  </si>
  <si>
    <t xml:space="preserve">     Proceeds from exercise of share options</t>
  </si>
  <si>
    <t xml:space="preserve">     Dividend paid (including tax)</t>
  </si>
  <si>
    <t xml:space="preserve">     Dividend paid (including tax) to non - controlling interests</t>
  </si>
  <si>
    <t xml:space="preserve">     Proceeds from issuance of equity shares to non-controlling interests</t>
  </si>
  <si>
    <t xml:space="preserve">     Sale of interest in a subsidiary</t>
  </si>
  <si>
    <t xml:space="preserve">     Purchase of shares from NCI</t>
  </si>
  <si>
    <t xml:space="preserve">Net cash (used in) / generated from financing activities (c) </t>
  </si>
  <si>
    <t>Net (decrease) / increase in cash and cash equivalents during the period (a+b+c)</t>
  </si>
  <si>
    <t>Effect of exchange rate on cash and cash equivalents</t>
  </si>
  <si>
    <t>Cash and cash equivalents as at beginning of the period</t>
  </si>
  <si>
    <t xml:space="preserve">Cash and cash equivalents as at end of the period </t>
  </si>
  <si>
    <t xml:space="preserve">     Proceeds from issuance of equity shares to institutional investor</t>
  </si>
  <si>
    <t>Total revenues</t>
  </si>
  <si>
    <t>Net revenue</t>
  </si>
  <si>
    <t xml:space="preserve">EBITDA / Total revenues </t>
  </si>
  <si>
    <t>Profit before Tax</t>
  </si>
  <si>
    <t>Net Income</t>
  </si>
  <si>
    <t>Operating Free Cash Flow</t>
  </si>
  <si>
    <t>Cumulative Investments</t>
  </si>
  <si>
    <t>Share of results of Joint Ventures / Associates</t>
  </si>
  <si>
    <t>Network opex</t>
  </si>
  <si>
    <t xml:space="preserve">Depreciation </t>
  </si>
  <si>
    <t>Amortisation</t>
  </si>
  <si>
    <t>Depn/ Amort</t>
  </si>
  <si>
    <t>Long term debt, net of current portion</t>
  </si>
  <si>
    <t>Short-term borrowings and current portion of long-term debt</t>
  </si>
  <si>
    <t>Deferred payment liability</t>
  </si>
  <si>
    <t>Less:</t>
  </si>
  <si>
    <t>Cash and Cash Equivalents</t>
  </si>
  <si>
    <t>Restricted Cash</t>
  </si>
  <si>
    <t>Net Debt</t>
  </si>
  <si>
    <t>Finance Lease Obligation</t>
  </si>
  <si>
    <t>Net Debt including Finance Lease Obligations</t>
  </si>
  <si>
    <t>Investments &amp; Receivables</t>
  </si>
  <si>
    <t>VLR</t>
  </si>
  <si>
    <t>Prepaid (As % of customer base)</t>
  </si>
  <si>
    <t>Monthly Churn</t>
  </si>
  <si>
    <t>ARPU (INR)</t>
  </si>
  <si>
    <t>ARPU (US$)</t>
  </si>
  <si>
    <t>Revenue/site/month</t>
  </si>
  <si>
    <t>-Others</t>
  </si>
  <si>
    <t>VOICE</t>
  </si>
  <si>
    <t>As % of customer base</t>
  </si>
  <si>
    <t>% of customer base</t>
  </si>
  <si>
    <t xml:space="preserve">Net additions </t>
  </si>
  <si>
    <t>Net Additions</t>
  </si>
  <si>
    <t>Digital TV ARPU (INR)</t>
  </si>
  <si>
    <t>Digital TV ARPU (US$)</t>
  </si>
  <si>
    <t>DTV and AIRTEL BUSINESS</t>
  </si>
  <si>
    <t>Airtel Business Customers</t>
  </si>
  <si>
    <t xml:space="preserve">Airtel Business </t>
  </si>
  <si>
    <t>Prepaid as % of base</t>
  </si>
  <si>
    <t>Revenue per Site</t>
  </si>
  <si>
    <t>Voice - ARPU (Constant $)</t>
  </si>
  <si>
    <t>Data CustomerNet Adds</t>
  </si>
  <si>
    <t>Average Data Subs</t>
  </si>
  <si>
    <t>African Sites on Network</t>
  </si>
  <si>
    <t>3G sites</t>
  </si>
  <si>
    <t>Equity holders of the parent</t>
  </si>
  <si>
    <t>Non controlling interests</t>
  </si>
  <si>
    <t>Net Income / (Loss)</t>
  </si>
  <si>
    <t>Restricted Cash, non-current</t>
  </si>
  <si>
    <t>Net Debt Reconciliation</t>
  </si>
  <si>
    <t>NSR Group Profit and Loss Analysis</t>
  </si>
  <si>
    <t>Group Total Revenue Growth YoY</t>
  </si>
  <si>
    <t>Group Total Revenue Growth QoQ</t>
  </si>
  <si>
    <t>Opex as % of revenues</t>
  </si>
  <si>
    <t>YoY increase in opex as % of revenues</t>
  </si>
  <si>
    <t>Depreciation and amortisation growth % YoY</t>
  </si>
  <si>
    <t>Implied tax rate</t>
  </si>
  <si>
    <t>Implied tax (current only)</t>
  </si>
  <si>
    <t>Net income growth (% YoY)</t>
  </si>
  <si>
    <t>Net income margin</t>
  </si>
  <si>
    <t>NSR Group cash flow Analysis</t>
  </si>
  <si>
    <t>Net Debt/EBITDA (LQA)</t>
  </si>
  <si>
    <t>Net Debt/ EBITDA (LTM)</t>
  </si>
  <si>
    <t>YoY change in cash from operations</t>
  </si>
  <si>
    <t>YoY change in cash from investing activities</t>
  </si>
  <si>
    <t>YoY change in dividend</t>
  </si>
  <si>
    <t>YoY change in net debt</t>
  </si>
  <si>
    <t>Cash held as % of sales</t>
  </si>
  <si>
    <t>Rise/fall in Borrowings</t>
  </si>
  <si>
    <t>Collated data by segment</t>
  </si>
  <si>
    <t>NSR Segment Reporting Analysis</t>
  </si>
  <si>
    <t>Capex growth (% YoY)</t>
  </si>
  <si>
    <t>Consolidated Analysis only</t>
  </si>
  <si>
    <t>NSR Indian Opex Analysis</t>
  </si>
  <si>
    <t>Depreciation growth YoY</t>
  </si>
  <si>
    <t>Amortisation growth YoY</t>
  </si>
  <si>
    <t>-Mobile Service Revenues</t>
  </si>
  <si>
    <t>NSR DOMESTIC MOBILE KPIs ANALYSIS</t>
  </si>
  <si>
    <t>NSR Other India Analaysis</t>
  </si>
  <si>
    <t>OpFCF as % of sales</t>
  </si>
  <si>
    <t>OpFCF Growth (% YoY)</t>
  </si>
  <si>
    <t>Bharti Infratel</t>
  </si>
  <si>
    <t>COMBINED DTV, Business and Home</t>
  </si>
  <si>
    <t>Africa (Remaining 15 Countries only)</t>
  </si>
  <si>
    <t>OpFCF as % of revenues</t>
  </si>
  <si>
    <t xml:space="preserve">South Asia </t>
  </si>
  <si>
    <t>NSR International Analaysis</t>
  </si>
  <si>
    <t xml:space="preserve">Africa </t>
  </si>
  <si>
    <t>Combined International</t>
  </si>
  <si>
    <t>AFRICA Revenues</t>
  </si>
  <si>
    <t>Total Minute Traffic Growth</t>
  </si>
  <si>
    <t>Total Data Traffic Growth</t>
  </si>
  <si>
    <t>Data Usage Growth</t>
  </si>
  <si>
    <t>Data Pricing Growth YoY</t>
  </si>
  <si>
    <t>Data Pricing Growth QoQ</t>
  </si>
  <si>
    <t>Voice Pricing Growth QoQ</t>
  </si>
  <si>
    <t>Voice ARPU Growth</t>
  </si>
  <si>
    <t>Voice Pricing Growth YoY</t>
  </si>
  <si>
    <t>Implied Data sub ARPU Growth YoY (INR)</t>
  </si>
  <si>
    <t>Implied Mobile internet ARPU/ data sub (INR)</t>
  </si>
  <si>
    <t>Hyperlink</t>
  </si>
  <si>
    <t>Index</t>
  </si>
  <si>
    <t>1)</t>
  </si>
  <si>
    <t>2)</t>
  </si>
  <si>
    <t>3)</t>
  </si>
  <si>
    <t>4)</t>
  </si>
  <si>
    <t>5)</t>
  </si>
  <si>
    <t>6)</t>
  </si>
  <si>
    <t>7)</t>
  </si>
  <si>
    <t>8)</t>
  </si>
  <si>
    <t>9)</t>
  </si>
  <si>
    <t>10)</t>
  </si>
  <si>
    <t>11)</t>
  </si>
  <si>
    <t>12)</t>
  </si>
  <si>
    <t>Consolidated Charts</t>
  </si>
  <si>
    <t>Domestic Mobile Charts</t>
  </si>
  <si>
    <t>Consolidated Revenue make-up</t>
  </si>
  <si>
    <t>Consolidated EBITDA Make-up</t>
  </si>
  <si>
    <t>Voice - Yield/min (INRc)</t>
  </si>
  <si>
    <t>Condensed Cash-Flow</t>
  </si>
  <si>
    <t>Cash-Flow From Operations</t>
  </si>
  <si>
    <t>Net Interest Paid</t>
  </si>
  <si>
    <t>Tax Paid</t>
  </si>
  <si>
    <t>(Increase)/Decrease in Net Debt</t>
  </si>
  <si>
    <t>Working Capital Delta</t>
  </si>
  <si>
    <t>Dividends Paid</t>
  </si>
  <si>
    <t>Acquisitions/Disposals/Share Capital Raises</t>
  </si>
  <si>
    <t>Spectrum</t>
  </si>
  <si>
    <t>CONSOLIDATED CHARTS</t>
  </si>
  <si>
    <t>DOMESTIC MOBILE CHARTS</t>
  </si>
  <si>
    <t>Domestic Mobile service revenue growth (% YoY)</t>
  </si>
  <si>
    <t>Domestic ARPU Growth (% YoY)</t>
  </si>
  <si>
    <t>Voice Traffic growth (% YoY)</t>
  </si>
  <si>
    <t>Data Traffic (Terabytes)</t>
  </si>
  <si>
    <t>Data ARPU growth (QoQ)</t>
  </si>
  <si>
    <t>Data pricing growth (QoQ)</t>
  </si>
  <si>
    <t xml:space="preserve">New Street Research </t>
  </si>
  <si>
    <t>Quarterly Bharti Airtel Historicals Model</t>
  </si>
  <si>
    <t>Reported Group Profit and Loss</t>
  </si>
  <si>
    <t>Reported Group Balance Sheet</t>
  </si>
  <si>
    <t>Reported Group cash-Flow and Net Debt</t>
  </si>
  <si>
    <t>Revenue, EBITDA, Capex Breakdown</t>
  </si>
  <si>
    <t>Indian Opex</t>
  </si>
  <si>
    <t>Domestic Mobile Financials</t>
  </si>
  <si>
    <t>Domestic Mobile Operational KPIs</t>
  </si>
  <si>
    <t>International Asset Financials</t>
  </si>
  <si>
    <t>International Asset Operational KPIs</t>
  </si>
  <si>
    <t>Charts Page</t>
  </si>
  <si>
    <t>'Other' India Financials</t>
  </si>
  <si>
    <t>'Other' India Operational KPIs</t>
  </si>
  <si>
    <t>KEY</t>
  </si>
  <si>
    <t>Figures as reported by Bharti Airtel</t>
  </si>
  <si>
    <t>New Street Analysis</t>
  </si>
  <si>
    <t>Figures restated/ Growth rates impacted</t>
  </si>
  <si>
    <t xml:space="preserve">'Other' India Charts </t>
  </si>
  <si>
    <t>'Other' India Charts</t>
  </si>
  <si>
    <t>YoY growth as % of sales (PPs)</t>
  </si>
  <si>
    <t>African Revenues (INR 'mn) (ex. sold assets)</t>
  </si>
  <si>
    <t>Africa EBITDA (INR 'mn; LHS); EBITDA margin (%; RHS)</t>
  </si>
  <si>
    <t>African net income (INR 'mn)</t>
  </si>
  <si>
    <t>Comment: Relative to other Indian telcos, Bharti is protected by not being purely Indian mobile</t>
  </si>
  <si>
    <t>Broadband BTS</t>
  </si>
  <si>
    <t>Mobile BB sub/BB site</t>
  </si>
  <si>
    <t>Data Traffic/ BB site (GB/Month)</t>
  </si>
  <si>
    <t>Revenue Growth (% QoQ)</t>
  </si>
  <si>
    <t>Implied 2G subs</t>
  </si>
  <si>
    <t>3G/4G net adds</t>
  </si>
  <si>
    <t>Build-up ARPU</t>
  </si>
  <si>
    <t xml:space="preserve">Voice </t>
  </si>
  <si>
    <t>SMS/VAS</t>
  </si>
  <si>
    <t>Data usage/ mobile BB subscriber (MB/month)</t>
  </si>
  <si>
    <t>Voice Minutes of Use (min/month)</t>
  </si>
  <si>
    <t>15)</t>
  </si>
  <si>
    <t>16)</t>
  </si>
  <si>
    <t>17)</t>
  </si>
  <si>
    <t>Indian capex/sales (%)</t>
  </si>
  <si>
    <t xml:space="preserve">African interest costs </t>
  </si>
  <si>
    <t xml:space="preserve">African tax </t>
  </si>
  <si>
    <t>African pre-tax profit/(loss)</t>
  </si>
  <si>
    <t>African depreciation</t>
  </si>
  <si>
    <t>Consolidated Depreciation (INR 'mn)</t>
  </si>
  <si>
    <t>Consolidated Revenue (INR'mn) and Growth (% YoY)</t>
  </si>
  <si>
    <t>Consolidated Revenue Growth (% QoQ)</t>
  </si>
  <si>
    <t>Total Subscriber Numbers ('000)</t>
  </si>
  <si>
    <t>Data and Broadband Subscribers ('000)</t>
  </si>
  <si>
    <t>Other business revenues as % of Indian and Total revenues</t>
  </si>
  <si>
    <t>Calculated Airtel Business ARPU</t>
  </si>
  <si>
    <t>Calculated Airtel Business ARPU Growth (%)</t>
  </si>
  <si>
    <t>'Other' Indian revs as % of India</t>
  </si>
  <si>
    <t>'Other' Indian revs as % of total</t>
  </si>
  <si>
    <t>'Other' Capex as % of sales</t>
  </si>
  <si>
    <t xml:space="preserve">'Other' Indian OpFCF </t>
  </si>
  <si>
    <t>'Other' Indian EBITDA (INR'mn)</t>
  </si>
  <si>
    <t>'Other' Indian contribution to Indian and Total EBITDA</t>
  </si>
  <si>
    <t>'Other' Indian contribution to Indian EBITDA</t>
  </si>
  <si>
    <t>'Other' Indian contribution to Group EBITDA</t>
  </si>
  <si>
    <t>Non-mobile Service Revenues (INR'mn)</t>
  </si>
  <si>
    <t>'Other Indian OpFCF by division (INR 'mn)</t>
  </si>
  <si>
    <t>'Other' Indian Revenue growth (% YoY)</t>
  </si>
  <si>
    <t>'Other' Indian EBITDA growth (% YoY)</t>
  </si>
  <si>
    <t>Airtel Business Revenue Growth YoY</t>
  </si>
  <si>
    <t>Airtel Business EBITDA Growth YoY</t>
  </si>
  <si>
    <t>Airtel Business EBITDA Margin</t>
  </si>
  <si>
    <t>Airtel Business EBITDA Margin Growth YoY</t>
  </si>
  <si>
    <t>DTV Subs ('000; LHS); ARPU (INR; RHS)</t>
  </si>
  <si>
    <t>African Financial Highlights (INR 'mn)</t>
  </si>
  <si>
    <t>African Depreciation and Net Finance Costs (INR 'mn)</t>
  </si>
  <si>
    <t>African PBT versus tax charge (INR'mn)</t>
  </si>
  <si>
    <t>African quarterly capex (12-month rolling average) (INR 'mn)</t>
  </si>
  <si>
    <t>African Cumulative Investments (INR 'mn)</t>
  </si>
  <si>
    <t>Consolidated EBITDA margins (%)</t>
  </si>
  <si>
    <t>Indian Mobile EBITDA (INR'mn) and growth (% YoY; RHS)</t>
  </si>
  <si>
    <t>Mobile Margin (%) and Mobile margin YoY Growth (PPs; RHS)</t>
  </si>
  <si>
    <t>'Other' Indian EBITDA margins (%)</t>
  </si>
  <si>
    <t>Home Service Voice and Data Revenue split (INR'mn)</t>
  </si>
  <si>
    <t>'Other' Indian capex to sales (%)</t>
  </si>
  <si>
    <t xml:space="preserve">International </t>
  </si>
  <si>
    <t>Comment: Bharti offers continue to attract 3G/4G subscribers. They are positioned well</t>
  </si>
  <si>
    <t>against JIO</t>
  </si>
  <si>
    <t xml:space="preserve">Comment: Data has exploded in India, the demand for data puts huge pressure on weak </t>
  </si>
  <si>
    <t>networks</t>
  </si>
  <si>
    <t>Comment: Bharti's reliance on mobile is reducing</t>
  </si>
  <si>
    <t>Group EBITDA (QoQ)</t>
  </si>
  <si>
    <t>Group EBITDA (YoY)</t>
  </si>
  <si>
    <t>New Street Research Key Chart</t>
  </si>
  <si>
    <t>Consolidated EBITDA (INR) and growth (% YoY)</t>
  </si>
  <si>
    <t>Consolidated Net Income (INR) and Growth (% YoY)</t>
  </si>
  <si>
    <t>Comment: Enterprise EBITDA continues to improve, Bharti focused on churning off</t>
  </si>
  <si>
    <t>low-margin streams</t>
  </si>
  <si>
    <t>Comment: Home services growth impacted by competition. Fixed-line operators rolling out</t>
  </si>
  <si>
    <t>ring fencing plans to protect data customers</t>
  </si>
  <si>
    <t>Others (Payment bank etc)</t>
  </si>
  <si>
    <t>Mobile Internet traffic</t>
  </si>
  <si>
    <t>Data traffic/ Data site (GB/month)</t>
  </si>
  <si>
    <t>Q3 18</t>
  </si>
  <si>
    <t>Domestic Mobile Revenue (INR 'mn)</t>
  </si>
  <si>
    <t>African interest costs (14 countries)</t>
  </si>
  <si>
    <t>Sale of Sierra Leone and Burkina Faso in Q3 16, Ghana deconsolidated Q3 18</t>
  </si>
  <si>
    <t>Data in grey is pre-Sierra Leone, Burkina Faso disposals and Ghana deconsolidation</t>
  </si>
  <si>
    <t>Data Traffic Growth</t>
  </si>
  <si>
    <t>Data - Usage</t>
  </si>
  <si>
    <t>RESTATED</t>
  </si>
  <si>
    <t>African data customers (post Q3 17 restatement) ('000)</t>
  </si>
  <si>
    <t>African data traffic</t>
  </si>
  <si>
    <t>Q4 18</t>
  </si>
  <si>
    <t>Comment: margin weakness in India impacting the group</t>
  </si>
  <si>
    <t>Comment: Can Vodafone/IDEA cope with this traffic growth?</t>
  </si>
  <si>
    <t xml:space="preserve">Comment: Bharti outspending competition in-line with project leap. </t>
  </si>
  <si>
    <t>Comment: African margin improvements have slowed slightly.</t>
  </si>
  <si>
    <t>Comment: Net profits are rising, Africa presents an opporuntity now</t>
  </si>
  <si>
    <t>instead of a drag.</t>
  </si>
  <si>
    <t>18)</t>
  </si>
  <si>
    <t>Net adds ('000)</t>
  </si>
  <si>
    <t>Usage Growth per Subscriber</t>
  </si>
  <si>
    <t>2G data net adds</t>
  </si>
  <si>
    <t>Comment: Airtel business margins softened in the quarter</t>
  </si>
  <si>
    <t>Comment: African revenues now improving</t>
  </si>
  <si>
    <t>Intersegment and other</t>
  </si>
  <si>
    <t>Data net adds by type ('000)</t>
  </si>
  <si>
    <t>ARPU QoQ</t>
  </si>
  <si>
    <t>Comment: Revenues show slight recovery for third quarter</t>
  </si>
  <si>
    <t>Comment: Domestic mobile conditions remain challenging, however, signs of recovery</t>
  </si>
  <si>
    <t>Comment: Strong 3G/4G net adds</t>
  </si>
  <si>
    <t>Sequential ARPU growth</t>
  </si>
  <si>
    <t>Goodwill</t>
  </si>
  <si>
    <t>Group service revenues and growth</t>
  </si>
  <si>
    <t>Q1 20</t>
  </si>
  <si>
    <t>Ex IFRS 16</t>
  </si>
  <si>
    <t>IFRS 16</t>
  </si>
  <si>
    <t>Q2 20</t>
  </si>
  <si>
    <t>Q3 20</t>
  </si>
  <si>
    <t>Ex acc chg</t>
  </si>
  <si>
    <t>%</t>
  </si>
  <si>
    <t>Acct chg</t>
  </si>
  <si>
    <t>PF Indus out ---&gt;</t>
  </si>
  <si>
    <t>ARPU</t>
  </si>
  <si>
    <t>4G % of base</t>
  </si>
  <si>
    <t>SEE OUR RECENT QUARTERLY ON INDUS TOWERS FOR COMMENTS</t>
  </si>
  <si>
    <t>Quarter</t>
  </si>
  <si>
    <t>Position</t>
  </si>
  <si>
    <t>Date</t>
  </si>
  <si>
    <t>Q</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</si>
  <si>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</si>
  <si>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</si>
  <si>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</si>
  <si>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</si>
  <si>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</si>
  <si>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</si>
  <si>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</si>
  <si>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</si>
  <si>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</si>
  <si>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</si>
  <si>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</si>
  <si>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</si>
  <si>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</si>
  <si>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</si>
  <si>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</si>
  <si>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</si>
  <si>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</si>
  <si>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</si>
  <si>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</si>
  <si>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</si>
  <si>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</si>
  <si>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</si>
  <si>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</si>
  <si>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</si>
  <si>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</si>
  <si>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</si>
  <si>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</si>
  <si>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</si>
  <si>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</si>
  <si>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</si>
  <si>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</si>
  <si>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</si>
  <si>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</si>
  <si>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</si>
  <si>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</si>
  <si>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</si>
  <si>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</si>
  <si>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</si>
  <si>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</si>
  <si>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</si>
  <si>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</si>
  <si>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</si>
  <si>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</si>
  <si>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</si>
  <si>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</si>
  <si>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</si>
  <si>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</si>
  <si>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</si>
  <si>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1Q24</t>
  </si>
  <si>
    <t>2Q24</t>
  </si>
  <si>
    <t>3Q24</t>
  </si>
  <si>
    <t>4Q24</t>
  </si>
  <si>
    <t>1Q25</t>
  </si>
  <si>
    <t>2Q25</t>
  </si>
  <si>
    <t>3Q25</t>
  </si>
  <si>
    <t>4Q25</t>
  </si>
  <si>
    <t>1Q26</t>
  </si>
  <si>
    <t>2Q26</t>
  </si>
  <si>
    <t>3Q26</t>
  </si>
  <si>
    <t>4Q26</t>
  </si>
  <si>
    <t>1Q27</t>
  </si>
  <si>
    <t>2Q27</t>
  </si>
  <si>
    <t>3Q27</t>
  </si>
  <si>
    <t>4Q27</t>
  </si>
  <si>
    <t>1Q28</t>
  </si>
  <si>
    <t>2Q28</t>
  </si>
  <si>
    <t>3Q28</t>
  </si>
  <si>
    <t>4Q28</t>
  </si>
  <si>
    <t>1Q29</t>
  </si>
  <si>
    <t>2Q29</t>
  </si>
  <si>
    <t>3Q29</t>
  </si>
  <si>
    <t>4Q29</t>
  </si>
  <si>
    <t>1Q30</t>
  </si>
  <si>
    <t>2Q30</t>
  </si>
  <si>
    <t>3Q30</t>
  </si>
  <si>
    <t>4Q30</t>
  </si>
  <si>
    <t>1Q31</t>
  </si>
  <si>
    <t>2Q31</t>
  </si>
  <si>
    <t>3Q31</t>
  </si>
  <si>
    <t>4Q31</t>
  </si>
  <si>
    <t>1Q32</t>
  </si>
  <si>
    <t>2Q32</t>
  </si>
  <si>
    <t>3Q32</t>
  </si>
  <si>
    <t>4Q32</t>
  </si>
  <si>
    <t>1Q33</t>
  </si>
  <si>
    <t>2Q33</t>
  </si>
  <si>
    <t>3Q33</t>
  </si>
  <si>
    <t>4Q33</t>
  </si>
  <si>
    <t>1Q34</t>
  </si>
  <si>
    <t>2Q34</t>
  </si>
  <si>
    <t>3Q34</t>
  </si>
  <si>
    <t>4Q34</t>
  </si>
  <si>
    <t>1Q35</t>
  </si>
  <si>
    <t>1Q36</t>
  </si>
  <si>
    <t>2Q35</t>
  </si>
  <si>
    <t>2Q36</t>
  </si>
  <si>
    <t>3Q35</t>
  </si>
  <si>
    <t>3Q36</t>
  </si>
  <si>
    <t>4Q35</t>
  </si>
  <si>
    <t>4Q36</t>
  </si>
  <si>
    <t>1Q37</t>
  </si>
  <si>
    <t>2Q37</t>
  </si>
  <si>
    <t>3Q37</t>
  </si>
  <si>
    <t>4Q37</t>
  </si>
  <si>
    <t>1Q38</t>
  </si>
  <si>
    <t>2Q38</t>
  </si>
  <si>
    <t>3Q38</t>
  </si>
  <si>
    <t>4Q38</t>
  </si>
  <si>
    <t>1Q39</t>
  </si>
  <si>
    <t>2Q39</t>
  </si>
  <si>
    <t>3Q39</t>
  </si>
  <si>
    <t>4Q39</t>
  </si>
  <si>
    <t>1Q40</t>
  </si>
  <si>
    <t>2Q40</t>
  </si>
  <si>
    <t>3Q40</t>
  </si>
  <si>
    <t>4Q40</t>
  </si>
  <si>
    <t>Chart update date</t>
  </si>
  <si>
    <t>Quarters</t>
  </si>
  <si>
    <t>Domestic Mobile EBITDA</t>
  </si>
  <si>
    <t>Homes Services EBITDA</t>
  </si>
  <si>
    <t>Digital TV EBITDA</t>
  </si>
  <si>
    <t>Airtel Enterprise EBITDA</t>
  </si>
  <si>
    <t>Tower Infratructure EBITDA</t>
  </si>
  <si>
    <t>South Asia EBITDA</t>
  </si>
  <si>
    <t>Africa EBITDA</t>
  </si>
  <si>
    <t>Intersegment and other EBITDA</t>
  </si>
  <si>
    <t>Total EBITDA</t>
  </si>
  <si>
    <t>Total revenues HS</t>
  </si>
  <si>
    <t>Total revenues DTV</t>
  </si>
  <si>
    <t>EBITDA HS</t>
  </si>
  <si>
    <t>EBITDA DTV</t>
  </si>
  <si>
    <t>EBITDA Bus.</t>
  </si>
  <si>
    <t>Total revenues Bus.</t>
  </si>
  <si>
    <t>Capex as % of sales HS</t>
  </si>
  <si>
    <t>Capex as % of sales DTV</t>
  </si>
  <si>
    <t>Capex as % of sales Bus.</t>
  </si>
  <si>
    <t>Operating Free Cash Flow HS</t>
  </si>
  <si>
    <t>Operating Free Cash Flow DTV</t>
  </si>
  <si>
    <t>Operating Free Cash Flow Bus.</t>
  </si>
  <si>
    <t>Total revenues.</t>
  </si>
  <si>
    <t>EBITDA.</t>
  </si>
  <si>
    <t>EBITDA Africa</t>
  </si>
  <si>
    <t>Net Income Africa</t>
  </si>
  <si>
    <t>Revenues.</t>
  </si>
  <si>
    <t>EBIT.</t>
  </si>
  <si>
    <t>Pre-Tax.</t>
  </si>
  <si>
    <t>Net profit.</t>
  </si>
  <si>
    <t>Avg capex</t>
  </si>
  <si>
    <t>Cumulative investments.</t>
  </si>
  <si>
    <t>Total Revenues - Recasted for IUC</t>
  </si>
  <si>
    <t>Average Revenue Per User (ARPU) - Recasted for IUC</t>
  </si>
  <si>
    <t>Revenue per site per month - Recasted for IUC</t>
  </si>
  <si>
    <t>Enterprise note</t>
  </si>
  <si>
    <t>Bharti note</t>
  </si>
  <si>
    <t>India inc Mobile</t>
  </si>
  <si>
    <t>SEE OUR RECENT QUARTERLY ON AAF FOR COMMENTS</t>
  </si>
  <si>
    <t xml:space="preserve">Data usage transformed since Jio launched. </t>
  </si>
  <si>
    <t>Strong net adds continuing</t>
  </si>
  <si>
    <t>AAF - Thoughts after the call</t>
  </si>
  <si>
    <t>Home services has been experiencing competition from mobile internet products &amp; launch of Jio Fibre</t>
  </si>
  <si>
    <t>Indian Mobile - Bharti Airtel: Leading the EM Telco bull market; New all-time high; price target to INR 1,400</t>
  </si>
  <si>
    <t>Declined further</t>
  </si>
  <si>
    <t>Airtel Africa – Q3 23: Solid results in Nigeria but slower quarter in East Africa and Francophone</t>
  </si>
  <si>
    <t>African Telcos and Towers – What if the Naira devalues to 600?</t>
  </si>
  <si>
    <t>Bharti lifts entry plan price by 57% in 7 more regions</t>
  </si>
  <si>
    <t>Restated &gt;</t>
  </si>
  <si>
    <t>Restated from 3Q23 (for lfl comparison)</t>
  </si>
  <si>
    <t>PERFORMANCE AT A GLANCE</t>
  </si>
  <si>
    <t>Check</t>
  </si>
  <si>
    <t xml:space="preserve">Airtel Business (restated) </t>
  </si>
  <si>
    <t>Restated; refer to row 51 for lfl comparison</t>
  </si>
  <si>
    <t>Consensus</t>
  </si>
  <si>
    <t>Revenue</t>
  </si>
  <si>
    <t>KPIs</t>
  </si>
  <si>
    <t>Indian mobile subs</t>
  </si>
  <si>
    <t>Indian mobile ARPU</t>
  </si>
  <si>
    <t>% margin</t>
  </si>
  <si>
    <t>% Var</t>
  </si>
  <si>
    <t>Total capex</t>
  </si>
  <si>
    <t>Capex - India mobile</t>
  </si>
  <si>
    <t>D&amp;A</t>
  </si>
  <si>
    <t>Tax</t>
  </si>
  <si>
    <t>"strategy of going both wide to penetrate more accounts as well as deep has led to continuous outperformance and market share expansion"</t>
  </si>
  <si>
    <t>Numbers were restated; see row 30</t>
  </si>
  <si>
    <t>Data - Total Traffic (mn MB)</t>
  </si>
  <si>
    <t>Strong</t>
  </si>
  <si>
    <t>Stable sequentially, strong</t>
  </si>
  <si>
    <t>Airtel Africa (Buy) – Q1 24: Strong underlying performance</t>
  </si>
  <si>
    <t>Indus Towers (Buy) – Q1 24 Quick Take: Improvements continue</t>
  </si>
  <si>
    <t>5G FWA in EM Telcos - Revenue &amp; Returns Analysis: Focus on Africa, India, Indonesia</t>
  </si>
  <si>
    <t>PL interest cost</t>
  </si>
  <si>
    <t>Cash interest cost</t>
  </si>
  <si>
    <t>PL interest income</t>
  </si>
  <si>
    <t>PL net interest income/(cost)</t>
  </si>
  <si>
    <t>PL - cash</t>
  </si>
  <si>
    <t>cumulative</t>
  </si>
  <si>
    <t>Others</t>
  </si>
  <si>
    <t>Total cash interest cost</t>
  </si>
  <si>
    <t>Cash flow</t>
  </si>
  <si>
    <t>Income statement</t>
  </si>
  <si>
    <t>Repayment of finance lease liabilities</t>
  </si>
  <si>
    <t>Currently what we have in cash flow</t>
  </si>
  <si>
    <t>What we do not have in cash flow; Includes cash interest on lease and repayment of lease liabilities</t>
  </si>
  <si>
    <t>Share issuance</t>
  </si>
  <si>
    <t>Google</t>
  </si>
  <si>
    <t>Investor</t>
  </si>
  <si>
    <t>Issue price</t>
  </si>
  <si>
    <t>No. of shares</t>
  </si>
  <si>
    <t>INR m</t>
  </si>
  <si>
    <t>USD m</t>
  </si>
  <si>
    <t>Total investment</t>
  </si>
  <si>
    <t>Stake</t>
  </si>
  <si>
    <t>Q1 23</t>
  </si>
  <si>
    <t>Announcement/approval date</t>
  </si>
  <si>
    <t>partly paid</t>
  </si>
  <si>
    <t>Already recorded in shares outstanding</t>
  </si>
  <si>
    <t>Derivatives and exchange fluctuation</t>
  </si>
  <si>
    <t>Interest on borrowings &amp; Finance charges</t>
  </si>
  <si>
    <t>Interest on Finance Lease Obligation</t>
  </si>
  <si>
    <t>What we have in the model's PnL</t>
  </si>
  <si>
    <t>Inflected</t>
  </si>
  <si>
    <t>Underlying Net income growth (% YoY)</t>
  </si>
  <si>
    <t>Airtel Africa (Buy) – Q2 24: Solid quarter, positive message on margins</t>
  </si>
  <si>
    <t xml:space="preserve">     Payment on Maturity forwards</t>
  </si>
  <si>
    <t>Earnings summary</t>
  </si>
  <si>
    <t>Net adds</t>
  </si>
  <si>
    <t>% change</t>
  </si>
  <si>
    <t>% QoQ</t>
  </si>
  <si>
    <t>Financials</t>
  </si>
  <si>
    <t>x</t>
  </si>
  <si>
    <t>Capex/sales</t>
  </si>
  <si>
    <t>Net profit to shareholders</t>
  </si>
  <si>
    <t>Profit margin</t>
  </si>
  <si>
    <t>YoY contribution</t>
  </si>
  <si>
    <t>YTD-1</t>
  </si>
  <si>
    <t>YTD</t>
  </si>
  <si>
    <t>Current quarter</t>
  </si>
  <si>
    <t>Margins</t>
  </si>
  <si>
    <t>OpFCF margin</t>
  </si>
  <si>
    <t>Of which are 4G customers</t>
  </si>
  <si>
    <t>Data - Usage per customer (MB)</t>
  </si>
  <si>
    <t>Network towers, mostly leased</t>
  </si>
  <si>
    <t>Revenue ex. Africa</t>
  </si>
  <si>
    <t>Net Adds ('000)</t>
  </si>
  <si>
    <t>Subscribers ('000)</t>
  </si>
  <si>
    <t>Analysis</t>
  </si>
  <si>
    <t>% of revenue</t>
  </si>
  <si>
    <t>Revenue from Operations YoY</t>
  </si>
  <si>
    <t>Revenue from Operations QoQ</t>
  </si>
  <si>
    <t>YoY change in margins</t>
  </si>
  <si>
    <t>% of EBITDA</t>
  </si>
  <si>
    <t>LTM ROIC</t>
  </si>
  <si>
    <t>Tax rate</t>
  </si>
  <si>
    <t>NOPAT</t>
  </si>
  <si>
    <t>Invested Capital</t>
  </si>
  <si>
    <t xml:space="preserve">ST debt </t>
  </si>
  <si>
    <t>ROIC</t>
  </si>
  <si>
    <t>EBIT - Airtel Business</t>
  </si>
  <si>
    <t>Divisional ROIC - Airtel Business</t>
  </si>
  <si>
    <t>Actual</t>
  </si>
  <si>
    <t>% YoY</t>
  </si>
  <si>
    <t>Do not delete</t>
  </si>
  <si>
    <t>Comprised of FTTH and FWA</t>
  </si>
  <si>
    <t>EBITDA ex. Africa</t>
  </si>
  <si>
    <t>Asset Check</t>
  </si>
  <si>
    <t>Liability Check</t>
  </si>
  <si>
    <t>Equity Check</t>
  </si>
  <si>
    <t>Net debt</t>
  </si>
  <si>
    <t>LT debt</t>
  </si>
  <si>
    <t>ST debt</t>
  </si>
  <si>
    <t>(-) Cash and Cash equivalents</t>
  </si>
  <si>
    <t>(-) Investments &amp; Receivables</t>
  </si>
  <si>
    <t>Schedule of net debt</t>
  </si>
  <si>
    <t>2QFY-2025</t>
  </si>
  <si>
    <t>Home</t>
  </si>
  <si>
    <t>Home subscribers</t>
  </si>
  <si>
    <t>Home ARPU</t>
  </si>
  <si>
    <r>
      <rPr>
        <b/>
        <u/>
        <sz val="12"/>
        <color theme="1"/>
        <rFont val="Roboto"/>
      </rPr>
      <t>Bharti Airtel – Q2 FY25 Quick Take: Improved as expected on mobile tariff hike; Enterprise picked up while Home connections accelerated again</t>
    </r>
    <r>
      <rPr>
        <sz val="12"/>
        <color theme="1"/>
        <rFont val="Roboto"/>
      </rPr>
      <t xml:space="preserve">
What's new: Bharti Airtel delivered a faster topline and EBITDA growth supported by the mobile tariff hike, with both marginally ahead of consensus. Mobile continued to outperform against Jio whilst Enterprise appears to be picking up again. Although India’s mobile upside has largely been baked into the stock, the accelerated home connections over the last two quarters coupled with the positive read-across from Jio’s FWA disclosure is encouraging to us. When deployed at scale, we see the potential for 5G FWA to be a material growth driver although this is still early. We stay Neutral at this point with a INR 1,500 price target.
Key points:  Revenue and EBITDA trend were marginally ahead of consensus, by 0.4% and 0.9% respectively. Group revenue rose by 12% YoY versus 2.8% last quarter led by the domestic tariff hike and the easing Naira devaluation coupled with improvements in Africa. 
The Group’s EBITDA growth also improved to 12% YoY from 1% prior, holding its margin steady at 53.1% unchanged from last year. Excluding exceptionals, underlying net profit was up 32% YoY from 0.8%.
Indian Mobile better on tariff hike, still marginally ahead of Jio: Topline trended faster, up 18.5% YoY from 10.5% YoY but was marginally ahead of Reliance Jio (+18%). Domestic mobile EBITDA posted faster growth, up 23% YoY from 12% (Jio +17.8%). As result, margins expanded by 2.1pp YoY to 57.1%. Against expectations, Indian mobile revenue was a touch lower (-0.5%) while EBITDA was 1.4% ahead.
Strong mobile ARPU as expected. Mobile ARPU rose by 14.9% YoY from 5.4% to INR 234, in line with consensus. Similar to Jio (-3m), its mobile subscriber base suffered a 2.9m loss likely due to SIM consolidation as a result of the tariff hike effective since July. For the full FY, we expect mobile ARPU to rise by 11%, behind what consensus has baked in (15%).
Enterprise appears to be picking up. Beyond mobile, Airtel Business (14% of revenue) improved to +10% YoY from +8.4% and was up 3.3% sequentially. We believe this was likely on the back of continued momentum in the domestic demand as past trends have suggested a slowdown in global account spending. In our view, the Indian Enterprise space remains full of opportunities where Bharti has been at the forefront although there appears to be rising competition from Jio in recent quarters. In addition, management had earlier echoed positive commentary around the push for cloud solutions to Indian enterprises as they digitalise.
Despite Jio’s increasing focus on Enterprise, we still believe Bharti has a relatively open goal in capturing the lion’s share of a high growth market going forward.
Uplift in Home net additions as FWA rollout accelerates. On Home Services, revenue growth kept steady at 17.3% YoY versus 17.6% prior, underpinned by an acceleration in net additions. Home customer base rose by 583k (Q1: 348k) to 8.6m, partly driven by Bharti’s accelerated FWA rollout. The company has yet to disclose FWA figures, but we believe the trend should accelerate further as the company is in the midst of upgrading its 5G network to standalone. We had earlier highlighted how we believe the India’s overall Fiber and FWA penetration can triple from 12% penetration today to over 30% by 2030 as household  income rises and 5G FWA gets deployed at scale. Given the pace of Jio’s 5G FWA rollout, we begin to see a strong case for upside potential in our earlier forecasts.
Capex continues to moderate, down by another 16% YoY to INR 77bn. YTD capex is now down 20% YoY as lower mobile capex offset the rise in capex in Home and Enterprise. If it were to continue at this rate, capex has the potential to undershoot against expectations. Based on management’s earlier commentary, Bharti had targeted an average of annual spend of INR 250 bn between FY2023 and FY2025.
Conclusion: Numbers were largely in line with expectations and given how much consensus is baking into mobile ARPU for this FY (+15% vs us at 11%), we see little upside for Mobile. On the other hand, it was encouraging to see a pickup in Enterprise and the accelerated home broadband additions. The former highlights the structural digitalisation trend in India we think while the read-across from Jio’s FWA numbers are likely to bode very well for the Indian broadband space. At this juncture, we remain at Neutral on the stock with a INR 1,500 price target.
For the historical data spreadsheet, kindly click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</si>
</sst>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 #,##0_-;\-* #,##0_-;_-* &quot;-&quot;??_-;_-@_-"/>
    <numFmt numFmtId="165" formatCode="0.0%"/>
    <numFmt numFmtId="166" formatCode="_-* #,##0.0_-;\-* #,##0.0_-;_-* &quot;-&quot;??_-;_-@_-"/>
    <numFmt numFmtId="167" formatCode="_-* #,##0.000_-;\-* #,##0.000_-;_-* &quot;-&quot;??_-;_-@_-"/>
    <numFmt numFmtId="168" formatCode="_([$€-2]* #,##0.00_);_([$€-2]* \(#,##0.00\);_([$€-2]* &quot;-&quot;??_)"/>
    <numFmt numFmtId="169" formatCode="_(* #,##0.00_);_(* \(#,##0.00\);_(* &quot;-&quot;??_);_(@_)"/>
    <numFmt numFmtId="170" formatCode="_(* #,##0_);_(* \(#,##0\);_(* &quot;-&quot;??_);_(@_)"/>
    <numFmt numFmtId="171" formatCode="[$$-1009]#,##0"/>
    <numFmt numFmtId="172" formatCode="_-* #,##0_-;* \(#,##0\)_-;_-* &quot;-&quot;??_-;_-@_-"/>
    <numFmt numFmtId="173" formatCode="_-* #,##0.0\x_-;* \(#,##0.0\x\)_-;_-* &quot;-&quot;??_-;_-@_-"/>
    <numFmt numFmtId="174" formatCode="0.00\x"/>
    <numFmt numFmtId="175" formatCode="&quot;$&quot;#,##0_);[Red]\(&quot;$&quot;#,##0\)"/>
    <numFmt numFmtId="176" formatCode="_ * #,##0_ ;_ * \-#,##0_ ;_ * &quot;-&quot;_ ;_ @_ "/>
    <numFmt numFmtId="177" formatCode="_ * #,##0.00_ ;_ * \-#,##0.00_ ;_ * &quot;-&quot;??_ ;_ @_ "/>
    <numFmt numFmtId="178" formatCode="#,##0;\(#,##0\)"/>
    <numFmt numFmtId="179" formatCode="&quot;$&quot;#,##0.0000_);\(&quot;$&quot;#,##0.0000\)"/>
    <numFmt numFmtId="180" formatCode="#,##0.0000"/>
    <numFmt numFmtId="181" formatCode="#,##0.0"/>
    <numFmt numFmtId="182" formatCode="00.000"/>
    <numFmt numFmtId="183" formatCode="&quot;?&quot;#,##0;&quot;?&quot;\-#,##0"/>
    <numFmt numFmtId="184" formatCode="_ &quot;\&quot;* #,##0_ ;_ &quot;\&quot;* \-#,##0_ ;_ &quot;\&quot;* &quot;-&quot;_ ;_ @_ "/>
    <numFmt numFmtId="185" formatCode="&quot;\&quot;#,##0.00;[Red]&quot;\&quot;\-#,##0.00"/>
    <numFmt numFmtId="186" formatCode="_ &quot;\&quot;* #,##0.00_ ;_ &quot;\&quot;* \-#,##0.00_ ;_ &quot;\&quot;* &quot;-&quot;??_ ;_ @_ "/>
    <numFmt numFmtId="187" formatCode="&quot;\&quot;#,##0;[Red]&quot;\&quot;\-#,##0"/>
    <numFmt numFmtId="188" formatCode="#,##0;[Red]&quot;-&quot;#,##0"/>
    <numFmt numFmtId="189" formatCode="#,##0.00;[Red]&quot;-&quot;#,##0.00"/>
    <numFmt numFmtId="190" formatCode="\$#,##0\ ;\(\$#,##0\)"/>
    <numFmt numFmtId="191" formatCode=";;;"/>
    <numFmt numFmtId="192" formatCode="#,##0.00000"/>
    <numFmt numFmtId="193" formatCode="#,##0\ &quot;DM&quot;;\-#,##0\ &quot;DM&quot;"/>
    <numFmt numFmtId="194" formatCode="0&quot;.&quot;000%"/>
    <numFmt numFmtId="195" formatCode="&quot;￥&quot;#,##0;&quot;￥&quot;\-#,##0"/>
    <numFmt numFmtId="196" formatCode="00&quot;.&quot;000"/>
    <numFmt numFmtId="197" formatCode="0.0%_);\(0.0%\);0.0%_);@_)"/>
    <numFmt numFmtId="198" formatCode="_(* #,##0_);_(* \(#,##0\);_(* &quot;-&quot;_);_(@_)"/>
  </numFmts>
  <fonts count="105">
    <font>
      <sz val="11"/>
      <color theme="1"/>
      <name val="Calibri"/>
      <family val="2"/>
      <scheme val="minor"/>
    </font>
    <font>
      <sz val="11"/>
      <color theme="1"/>
      <name val="Calibri"/>
      <family val="2"/>
      <scheme val="minor"/>
    </font>
    <font>
      <b/>
      <sz val="12"/>
      <color theme="0"/>
      <name val="Trebuchet MS"/>
      <family val="2"/>
    </font>
    <font>
      <sz val="11"/>
      <color theme="1"/>
      <name val="Trebuchet MS"/>
      <family val="2"/>
    </font>
    <font>
      <sz val="11"/>
      <color rgb="FFFF0000"/>
      <name val="Trebuchet MS"/>
      <family val="2"/>
    </font>
    <font>
      <i/>
      <sz val="11"/>
      <color theme="1"/>
      <name val="Trebuchet MS"/>
      <family val="2"/>
    </font>
    <font>
      <sz val="12"/>
      <color theme="1"/>
      <name val="Trebuchet MS"/>
      <family val="2"/>
    </font>
    <font>
      <i/>
      <sz val="12"/>
      <color theme="1"/>
      <name val="Trebuchet MS"/>
      <family val="2"/>
    </font>
    <font>
      <b/>
      <u/>
      <sz val="11"/>
      <color theme="1"/>
      <name val="Trebuchet MS"/>
      <family val="2"/>
    </font>
    <font>
      <u/>
      <sz val="11"/>
      <color theme="1"/>
      <name val="Trebuchet MS"/>
      <family val="2"/>
    </font>
    <font>
      <b/>
      <sz val="11"/>
      <color theme="1"/>
      <name val="Trebuchet MS"/>
      <family val="2"/>
    </font>
    <font>
      <sz val="8"/>
      <name val="Arial"/>
      <family val="2"/>
    </font>
    <font>
      <sz val="10"/>
      <name val="Arial"/>
      <family val="2"/>
    </font>
    <font>
      <sz val="11"/>
      <name val="Trebuchet MS"/>
      <family val="2"/>
    </font>
    <font>
      <sz val="10"/>
      <name val="Trebuchet MS"/>
      <family val="2"/>
    </font>
    <font>
      <b/>
      <sz val="12"/>
      <name val="Trebuchet MS"/>
      <family val="2"/>
    </font>
    <font>
      <sz val="12"/>
      <name val="Trebuchet MS"/>
      <family val="2"/>
    </font>
    <font>
      <b/>
      <sz val="12"/>
      <color theme="1"/>
      <name val="Trebuchet MS"/>
      <family val="2"/>
    </font>
    <font>
      <sz val="12"/>
      <color theme="0"/>
      <name val="Trebuchet MS"/>
      <family val="2"/>
    </font>
    <font>
      <u/>
      <sz val="11"/>
      <color theme="10"/>
      <name val="Calibri"/>
      <family val="2"/>
      <scheme val="minor"/>
    </font>
    <font>
      <sz val="12"/>
      <color theme="10"/>
      <name val="Trebuchet MS"/>
      <family val="2"/>
    </font>
    <font>
      <sz val="9"/>
      <color indexed="81"/>
      <name val="Tahoma"/>
      <family val="2"/>
    </font>
    <font>
      <b/>
      <sz val="9"/>
      <color indexed="81"/>
      <name val="Tahoma"/>
      <family val="2"/>
    </font>
    <font>
      <sz val="10"/>
      <name val="Arial"/>
      <family val="2"/>
    </font>
    <font>
      <sz val="12"/>
      <name val="Tms Rmn"/>
    </font>
    <font>
      <b/>
      <sz val="10"/>
      <color indexed="50"/>
      <name val="Arial"/>
      <family val="2"/>
    </font>
    <font>
      <b/>
      <sz val="10"/>
      <color indexed="48"/>
      <name val="Arial"/>
      <family val="2"/>
    </font>
    <font>
      <b/>
      <sz val="10"/>
      <color indexed="10"/>
      <name val="Arial"/>
      <family val="2"/>
    </font>
    <font>
      <b/>
      <sz val="12"/>
      <name val="Arial"/>
      <family val="2"/>
    </font>
    <font>
      <u/>
      <sz val="10"/>
      <color indexed="12"/>
      <name val="Arial"/>
      <family val="2"/>
    </font>
    <font>
      <sz val="7"/>
      <name val="Small Fonts"/>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2"/>
      <name val=".VnTime"/>
      <family val="2"/>
    </font>
    <font>
      <sz val="9"/>
      <name val="ﾀﾞｯﾁ"/>
      <family val="3"/>
      <charset val="128"/>
    </font>
    <font>
      <sz val="11"/>
      <name val="??"/>
      <family val="3"/>
    </font>
    <font>
      <sz val="14"/>
      <name val="??"/>
      <family val="3"/>
    </font>
    <font>
      <sz val="12"/>
      <name val="????"/>
      <family val="2"/>
      <charset val="136"/>
    </font>
    <font>
      <sz val="12"/>
      <name val="???"/>
      <family val="3"/>
    </font>
    <font>
      <sz val="10"/>
      <name val="???"/>
      <family val="3"/>
    </font>
    <font>
      <sz val="12"/>
      <name val="Times New Roman"/>
      <family val="1"/>
    </font>
    <font>
      <sz val="12"/>
      <name val="바탕체"/>
      <family val="1"/>
      <charset val="255"/>
    </font>
    <font>
      <b/>
      <u/>
      <sz val="14"/>
      <color indexed="8"/>
      <name val=".VnBook-AntiquaH"/>
      <family val="2"/>
    </font>
    <font>
      <sz val="12"/>
      <color indexed="10"/>
      <name val=".VnArial Narrow"/>
      <family val="2"/>
    </font>
    <font>
      <i/>
      <sz val="12"/>
      <color indexed="8"/>
      <name val=".VnBook-AntiquaH"/>
      <family val="2"/>
    </font>
    <font>
      <b/>
      <sz val="12"/>
      <color indexed="8"/>
      <name val=".VnBook-Antiqua"/>
      <family val="2"/>
    </font>
    <font>
      <i/>
      <sz val="12"/>
      <color indexed="8"/>
      <name val=".VnBook-Antiqua"/>
      <family val="2"/>
    </font>
    <font>
      <sz val="10"/>
      <name val=".VnTime"/>
      <family val="2"/>
    </font>
    <font>
      <sz val="12"/>
      <name val="±¼¸²Ã¼"/>
      <family val="3"/>
      <charset val="129"/>
    </font>
    <font>
      <sz val="12"/>
      <name val="¹UAAA¼"/>
      <family val="3"/>
      <charset val="129"/>
    </font>
    <font>
      <sz val="12"/>
      <name val="¹ÙÅÁÃ¼"/>
      <family val="1"/>
      <charset val="129"/>
    </font>
    <font>
      <sz val="9"/>
      <name val="ＭＳ ゴシック"/>
      <family val="3"/>
      <charset val="128"/>
    </font>
    <font>
      <sz val="12"/>
      <name val="µ¸¿òÃ¼"/>
      <family val="3"/>
      <charset val="129"/>
    </font>
    <font>
      <sz val="12"/>
      <name val="Helv"/>
      <family val="2"/>
    </font>
    <font>
      <b/>
      <sz val="10"/>
      <color indexed="8"/>
      <name val="Arial"/>
      <family val="2"/>
    </font>
    <font>
      <sz val="12"/>
      <name val="Arial"/>
      <family val="2"/>
    </font>
    <font>
      <sz val="13"/>
      <name val=".VnTime"/>
      <family val="2"/>
    </font>
    <font>
      <sz val="14"/>
      <name val=".VnArial"/>
      <family val="2"/>
    </font>
    <font>
      <sz val="14"/>
      <name val="뼻뮝"/>
      <family val="3"/>
    </font>
    <font>
      <sz val="12"/>
      <name val="바탕체"/>
      <family val="3"/>
    </font>
    <font>
      <sz val="12"/>
      <name val="뼻뮝"/>
      <family val="3"/>
    </font>
    <font>
      <sz val="9"/>
      <name val="Arial"/>
      <family val="2"/>
    </font>
    <font>
      <sz val="11"/>
      <name val="돋움"/>
      <family val="2"/>
    </font>
    <font>
      <sz val="10"/>
      <name val="굴림체"/>
      <family val="3"/>
    </font>
    <font>
      <sz val="10"/>
      <name val="明朝"/>
      <family val="1"/>
      <charset val="128"/>
    </font>
    <font>
      <sz val="12"/>
      <name val="Courier"/>
      <family val="3"/>
    </font>
    <font>
      <sz val="10"/>
      <name val=" "/>
      <family val="1"/>
      <charset val="136"/>
    </font>
    <font>
      <sz val="10"/>
      <name val="Arial"/>
      <family val="2"/>
    </font>
    <font>
      <i/>
      <sz val="11"/>
      <name val="Trebuchet MS"/>
      <family val="2"/>
    </font>
    <font>
      <b/>
      <sz val="11"/>
      <name val="Trebuchet MS"/>
      <family val="2"/>
    </font>
    <font>
      <b/>
      <sz val="11"/>
      <color theme="0"/>
      <name val="Trebuchet MS"/>
      <family val="2"/>
    </font>
    <font>
      <b/>
      <i/>
      <sz val="11"/>
      <color theme="1"/>
      <name val="Trebuchet MS"/>
      <family val="2"/>
    </font>
    <font>
      <sz val="11"/>
      <color theme="0"/>
      <name val="Trebuchet MS"/>
      <family val="2"/>
    </font>
    <font>
      <b/>
      <i/>
      <sz val="11"/>
      <name val="Trebuchet MS"/>
      <family val="2"/>
    </font>
    <font>
      <sz val="8"/>
      <name val="Calibri"/>
      <family val="2"/>
      <scheme val="minor"/>
    </font>
    <font>
      <sz val="11"/>
      <color rgb="FF0000FF"/>
      <name val="Trebuchet MS"/>
      <family val="2"/>
    </font>
    <font>
      <b/>
      <sz val="11"/>
      <color rgb="FF0000FF"/>
      <name val="Trebuchet MS"/>
      <family val="2"/>
    </font>
    <font>
      <b/>
      <sz val="11"/>
      <color rgb="FFFF0000"/>
      <name val="Trebuchet MS"/>
      <family val="2"/>
    </font>
    <font>
      <b/>
      <sz val="11"/>
      <color theme="1"/>
      <name val="Calibri"/>
      <family val="2"/>
      <scheme val="minor"/>
    </font>
    <font>
      <b/>
      <sz val="11"/>
      <name val="Calibri"/>
      <family val="2"/>
      <scheme val="minor"/>
    </font>
    <font>
      <sz val="11"/>
      <name val="Calibri"/>
      <family val="2"/>
      <scheme val="minor"/>
    </font>
    <font>
      <sz val="11"/>
      <color rgb="FF0000FF"/>
      <name val="Calibri"/>
      <family val="2"/>
      <scheme val="minor"/>
    </font>
    <font>
      <b/>
      <sz val="16"/>
      <name val="Roboto"/>
    </font>
    <font>
      <b/>
      <sz val="12"/>
      <name val="Roboto"/>
    </font>
    <font>
      <sz val="12"/>
      <color theme="1"/>
      <name val="Roboto"/>
    </font>
    <font>
      <u/>
      <sz val="11"/>
      <color theme="10"/>
      <name val="Roboto"/>
    </font>
    <font>
      <b/>
      <u/>
      <sz val="12"/>
      <color theme="1"/>
      <name val="Roboto"/>
    </font>
    <font>
      <i/>
      <u/>
      <sz val="12"/>
      <color theme="1"/>
      <name val="Roboto"/>
    </font>
    <font>
      <u/>
      <sz val="12"/>
      <color theme="1"/>
      <name val="Roboto"/>
    </font>
    <font>
      <b/>
      <sz val="12"/>
      <color theme="1"/>
      <name val="Roboto"/>
    </font>
    <font>
      <u/>
      <sz val="12"/>
      <color theme="10"/>
      <name val="Roboto"/>
    </font>
    <font>
      <b/>
      <sz val="6"/>
      <color rgb="FF000000"/>
      <name val="Open Sans"/>
      <family val="2"/>
    </font>
    <font>
      <sz val="12"/>
      <color rgb="FFFF0000"/>
      <name val="Trebuchet MS"/>
      <family val="2"/>
    </font>
    <font>
      <sz val="12"/>
      <color theme="4"/>
      <name val="Trebuchet MS"/>
      <family val="2"/>
    </font>
    <font>
      <sz val="9"/>
      <color rgb="FF000000"/>
      <name val="Montserrat"/>
    </font>
    <font>
      <sz val="11"/>
      <color rgb="FFC00000"/>
      <name val="Calibri"/>
      <family val="2"/>
      <scheme val="minor"/>
    </font>
    <font>
      <b/>
      <sz val="11"/>
      <color rgb="FFC00000"/>
      <name val="Calibri"/>
      <family val="2"/>
      <scheme val="minor"/>
    </font>
    <font>
      <b/>
      <sz val="11"/>
      <color theme="0"/>
      <name val="Calibri"/>
      <family val="2"/>
      <scheme val="minor"/>
    </font>
    <font>
      <sz val="11"/>
      <color theme="0"/>
      <name val="Calibri"/>
      <family val="2"/>
      <scheme val="minor"/>
    </font>
    <font>
      <b/>
      <sz val="12"/>
      <color rgb="FF000000"/>
      <name val="Roboto"/>
    </font>
    <font>
      <b/>
      <sz val="12"/>
      <color rgb="FFFFFFFF"/>
      <name val="Roboto"/>
    </font>
    <font>
      <sz val="12"/>
      <color rgb="FF000000"/>
      <name val="Roboto"/>
    </font>
    <font>
      <sz val="10"/>
      <name val="Arial"/>
      <family val="2"/>
    </font>
  </fonts>
  <fills count="27">
    <fill>
      <patternFill patternType="none"/>
    </fill>
    <fill>
      <patternFill patternType="gray125"/>
    </fill>
    <fill>
      <patternFill patternType="solid">
        <fgColor theme="8" tint="-0.249977111117893"/>
        <bgColor indexed="64"/>
      </patternFill>
    </fill>
    <fill>
      <patternFill patternType="solid">
        <fgColor theme="9" tint="0.59999389629810485"/>
        <bgColor indexed="64"/>
      </patternFill>
    </fill>
    <fill>
      <patternFill patternType="solid">
        <fgColor theme="2"/>
        <bgColor indexed="64"/>
      </patternFill>
    </fill>
    <fill>
      <patternFill patternType="solid">
        <fgColor theme="0"/>
        <bgColor indexed="64"/>
      </patternFill>
    </fill>
    <fill>
      <patternFill patternType="solid">
        <fgColor indexed="22"/>
        <bgColor indexed="64"/>
      </patternFill>
    </fill>
    <fill>
      <patternFill patternType="solid">
        <fgColor indexed="13"/>
        <bgColor indexed="64"/>
      </patternFill>
    </fill>
    <fill>
      <patternFill patternType="solid">
        <fgColor indexed="9"/>
      </patternFill>
    </fill>
    <fill>
      <patternFill patternType="solid">
        <fgColor indexed="9"/>
        <bgColor indexed="64"/>
      </patternFill>
    </fill>
    <fill>
      <patternFill patternType="solid">
        <fgColor indexed="58"/>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C000"/>
        <bgColor indexed="64"/>
      </patternFill>
    </fill>
    <fill>
      <patternFill patternType="solid">
        <fgColor theme="1"/>
        <bgColor indexed="64"/>
      </patternFill>
    </fill>
    <fill>
      <patternFill patternType="solid">
        <fgColor rgb="FFBDD7EE"/>
        <bgColor rgb="FF000000"/>
      </patternFill>
    </fill>
    <fill>
      <patternFill patternType="solid">
        <fgColor rgb="FF305496"/>
        <bgColor rgb="FF000000"/>
      </patternFill>
    </fill>
    <fill>
      <patternFill patternType="solid">
        <fgColor rgb="FFC6E0B4"/>
        <bgColor rgb="FF000000"/>
      </patternFill>
    </fill>
    <fill>
      <patternFill patternType="solid">
        <fgColor rgb="FFBDD7EE"/>
        <bgColor indexed="64"/>
      </patternFill>
    </fill>
    <fill>
      <patternFill patternType="solid">
        <fgColor rgb="FF305496"/>
        <bgColor indexed="64"/>
      </patternFill>
    </fill>
    <fill>
      <patternFill patternType="solid">
        <fgColor theme="6"/>
        <bgColor indexed="64"/>
      </patternFill>
    </fill>
    <fill>
      <patternFill patternType="solid">
        <fgColor rgb="FFFFFFCC"/>
        <bgColor indexed="64"/>
      </patternFill>
    </fill>
  </fills>
  <borders count="14">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double">
        <color indexed="64"/>
      </top>
      <bottom/>
      <diagonal/>
    </border>
    <border>
      <left style="hair">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52">
    <xf numFmtId="0" fontId="0" fillId="0" borderId="0"/>
    <xf numFmtId="43" fontId="1" fillId="0" borderId="0" applyFont="0" applyFill="0" applyBorder="0" applyAlignment="0" applyProtection="0"/>
    <xf numFmtId="9" fontId="1" fillId="0" borderId="0" applyFont="0" applyFill="0" applyBorder="0" applyAlignment="0" applyProtection="0"/>
    <xf numFmtId="168" fontId="1" fillId="0" borderId="0"/>
    <xf numFmtId="0" fontId="11" fillId="0" borderId="0"/>
    <xf numFmtId="168" fontId="12" fillId="0" borderId="0"/>
    <xf numFmtId="169" fontId="1"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8" fontId="12" fillId="0" borderId="0"/>
    <xf numFmtId="168" fontId="11" fillId="0" borderId="0"/>
    <xf numFmtId="168" fontId="11" fillId="0" borderId="0"/>
    <xf numFmtId="0" fontId="11" fillId="0" borderId="0"/>
    <xf numFmtId="0" fontId="19" fillId="0" borderId="0" applyNumberFormat="0" applyFill="0" applyBorder="0" applyAlignment="0" applyProtection="0"/>
    <xf numFmtId="0" fontId="14" fillId="0" borderId="0"/>
    <xf numFmtId="0" fontId="14" fillId="0" borderId="0"/>
    <xf numFmtId="0" fontId="23" fillId="0" borderId="0"/>
    <xf numFmtId="168" fontId="35" fillId="0" borderId="0" applyNumberFormat="0" applyFill="0" applyBorder="0" applyAlignment="0" applyProtection="0"/>
    <xf numFmtId="168" fontId="12" fillId="0" borderId="0"/>
    <xf numFmtId="38" fontId="36" fillId="0" borderId="0" applyFont="0" applyFill="0" applyBorder="0" applyAlignment="0" applyProtection="0"/>
    <xf numFmtId="182" fontId="37" fillId="0" borderId="0" applyFont="0" applyFill="0" applyBorder="0" applyAlignment="0" applyProtection="0"/>
    <xf numFmtId="168" fontId="38" fillId="0" borderId="0" applyFont="0" applyFill="0" applyBorder="0" applyAlignment="0" applyProtection="0"/>
    <xf numFmtId="183" fontId="37" fillId="0" borderId="0" applyFont="0" applyFill="0" applyBorder="0" applyAlignment="0" applyProtection="0"/>
    <xf numFmtId="40" fontId="38" fillId="0" borderId="0" applyFont="0" applyFill="0" applyBorder="0" applyAlignment="0" applyProtection="0"/>
    <xf numFmtId="38" fontId="38" fillId="0" borderId="0" applyFont="0" applyFill="0" applyBorder="0" applyAlignment="0" applyProtection="0"/>
    <xf numFmtId="41" fontId="39" fillId="0" borderId="0" applyFont="0" applyFill="0" applyBorder="0" applyAlignment="0" applyProtection="0"/>
    <xf numFmtId="9" fontId="40" fillId="0" borderId="0" applyFont="0" applyFill="0" applyBorder="0" applyAlignment="0" applyProtection="0"/>
    <xf numFmtId="168" fontId="41" fillId="0" borderId="0"/>
    <xf numFmtId="168" fontId="12" fillId="0" borderId="0"/>
    <xf numFmtId="168" fontId="42" fillId="0" borderId="0"/>
    <xf numFmtId="168" fontId="12" fillId="0" borderId="0"/>
    <xf numFmtId="168" fontId="12" fillId="0" borderId="0" applyNumberFormat="0" applyFill="0" applyBorder="0" applyAlignment="0" applyProtection="0"/>
    <xf numFmtId="168" fontId="12" fillId="0" borderId="0" applyNumberFormat="0" applyFill="0" applyBorder="0" applyAlignment="0" applyProtection="0"/>
    <xf numFmtId="168" fontId="43" fillId="0" borderId="0"/>
    <xf numFmtId="168" fontId="12" fillId="0" borderId="0"/>
    <xf numFmtId="168" fontId="12" fillId="0" borderId="0" applyNumberFormat="0" applyFill="0" applyBorder="0" applyAlignment="0" applyProtection="0"/>
    <xf numFmtId="168" fontId="12" fillId="0" borderId="0"/>
    <xf numFmtId="168" fontId="12" fillId="0" borderId="0" applyNumberFormat="0" applyFill="0" applyBorder="0" applyAlignment="0" applyProtection="0"/>
    <xf numFmtId="168" fontId="11" fillId="0" borderId="0"/>
    <xf numFmtId="168" fontId="12" fillId="0" borderId="0"/>
    <xf numFmtId="168" fontId="12" fillId="0" borderId="0" applyNumberFormat="0" applyFill="0" applyBorder="0" applyAlignment="0" applyProtection="0"/>
    <xf numFmtId="168" fontId="12" fillId="0" borderId="0" applyNumberFormat="0" applyFill="0" applyBorder="0" applyAlignment="0" applyProtection="0"/>
    <xf numFmtId="168" fontId="42" fillId="0" borderId="0"/>
    <xf numFmtId="0" fontId="12" fillId="0" borderId="0"/>
    <xf numFmtId="168" fontId="44" fillId="6" borderId="0"/>
    <xf numFmtId="168" fontId="45" fillId="7" borderId="4" applyFont="0" applyFill="0" applyAlignment="0">
      <alignment vertical="center" wrapText="1"/>
    </xf>
    <xf numFmtId="168" fontId="46" fillId="6" borderId="0"/>
    <xf numFmtId="168" fontId="47" fillId="6" borderId="0"/>
    <xf numFmtId="168" fontId="48" fillId="0" borderId="0">
      <alignment wrapText="1"/>
    </xf>
    <xf numFmtId="168" fontId="49" fillId="0" borderId="0"/>
    <xf numFmtId="184" fontId="50" fillId="0" borderId="0" applyFont="0" applyFill="0" applyBorder="0" applyAlignment="0" applyProtection="0"/>
    <xf numFmtId="168" fontId="51" fillId="0" borderId="0" applyFont="0" applyFill="0" applyBorder="0" applyAlignment="0" applyProtection="0"/>
    <xf numFmtId="185" fontId="52" fillId="0" borderId="0" applyFont="0" applyFill="0" applyBorder="0" applyAlignment="0" applyProtection="0"/>
    <xf numFmtId="186" fontId="50" fillId="0" borderId="0" applyFont="0" applyFill="0" applyBorder="0" applyAlignment="0" applyProtection="0"/>
    <xf numFmtId="168" fontId="51" fillId="0" borderId="0" applyFont="0" applyFill="0" applyBorder="0" applyAlignment="0" applyProtection="0"/>
    <xf numFmtId="187" fontId="52" fillId="0" borderId="0" applyFont="0" applyFill="0" applyBorder="0" applyAlignment="0" applyProtection="0"/>
    <xf numFmtId="168" fontId="53" fillId="0" borderId="5" applyFont="0" applyFill="0" applyBorder="0" applyAlignment="0" applyProtection="0">
      <alignment horizontal="center" vertical="center"/>
    </xf>
    <xf numFmtId="176" fontId="50" fillId="0" borderId="0" applyFont="0" applyFill="0" applyBorder="0" applyAlignment="0" applyProtection="0"/>
    <xf numFmtId="168" fontId="51" fillId="0" borderId="0" applyFont="0" applyFill="0" applyBorder="0" applyAlignment="0" applyProtection="0"/>
    <xf numFmtId="188" fontId="52" fillId="0" borderId="0" applyFont="0" applyFill="0" applyBorder="0" applyAlignment="0" applyProtection="0"/>
    <xf numFmtId="177" fontId="50" fillId="0" borderId="0" applyFont="0" applyFill="0" applyBorder="0" applyAlignment="0" applyProtection="0"/>
    <xf numFmtId="168" fontId="51" fillId="0" borderId="0" applyFont="0" applyFill="0" applyBorder="0" applyAlignment="0" applyProtection="0"/>
    <xf numFmtId="189" fontId="52" fillId="0" borderId="0" applyFont="0" applyFill="0" applyBorder="0" applyAlignment="0" applyProtection="0"/>
    <xf numFmtId="181" fontId="12" fillId="0" borderId="6">
      <alignment wrapText="1"/>
      <protection locked="0"/>
    </xf>
    <xf numFmtId="0" fontId="24" fillId="0" borderId="0" applyNumberFormat="0" applyFill="0" applyBorder="0" applyAlignment="0" applyProtection="0"/>
    <xf numFmtId="168" fontId="51" fillId="0" borderId="0"/>
    <xf numFmtId="168" fontId="54" fillId="0" borderId="0"/>
    <xf numFmtId="168" fontId="51" fillId="0" borderId="0"/>
    <xf numFmtId="37" fontId="55" fillId="0" borderId="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3" fontId="12" fillId="0" borderId="0" applyFont="0" applyFill="0" applyBorder="0" applyAlignment="0" applyProtection="0"/>
    <xf numFmtId="178" fontId="25" fillId="0" borderId="6" applyBorder="0"/>
    <xf numFmtId="190" fontId="12" fillId="0" borderId="0" applyFont="0" applyFill="0" applyBorder="0" applyAlignment="0" applyProtection="0"/>
    <xf numFmtId="178" fontId="26" fillId="0" borderId="0">
      <protection locked="0"/>
    </xf>
    <xf numFmtId="168"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178" fontId="27" fillId="0" borderId="2"/>
    <xf numFmtId="168" fontId="12" fillId="0" borderId="0" applyFont="0" applyFill="0" applyBorder="0" applyAlignment="0" applyProtection="0"/>
    <xf numFmtId="2" fontId="12" fillId="0" borderId="0" applyFont="0" applyFill="0" applyBorder="0" applyAlignment="0" applyProtection="0"/>
    <xf numFmtId="0" fontId="28" fillId="0" borderId="7" applyNumberFormat="0" applyAlignment="0" applyProtection="0">
      <alignment horizontal="left" vertical="center"/>
    </xf>
    <xf numFmtId="0" fontId="28" fillId="0" borderId="8">
      <alignment horizontal="left" vertical="center"/>
    </xf>
    <xf numFmtId="191" fontId="53" fillId="0" borderId="0" applyFont="0" applyFill="0" applyBorder="0" applyAlignment="0" applyProtection="0">
      <alignment horizontal="center" vertical="center"/>
    </xf>
    <xf numFmtId="0" fontId="29" fillId="0" borderId="0" applyNumberFormat="0" applyFill="0" applyBorder="0" applyAlignment="0" applyProtection="0">
      <alignment vertical="top"/>
      <protection locked="0"/>
    </xf>
    <xf numFmtId="168" fontId="56" fillId="8" borderId="0">
      <alignment horizontal="left"/>
    </xf>
    <xf numFmtId="168" fontId="53" fillId="0" borderId="0" applyFont="0" applyFill="0" applyBorder="0" applyProtection="0">
      <alignment horizontal="center" vertical="center"/>
    </xf>
    <xf numFmtId="168" fontId="57" fillId="0" borderId="0" applyNumberFormat="0" applyFont="0" applyFill="0" applyAlignment="0"/>
    <xf numFmtId="37" fontId="30" fillId="0" borderId="0"/>
    <xf numFmtId="168" fontId="12" fillId="0" borderId="0"/>
    <xf numFmtId="179" fontId="12" fillId="0" borderId="0"/>
    <xf numFmtId="0" fontId="12" fillId="0" borderId="0"/>
    <xf numFmtId="168" fontId="58" fillId="0" borderId="0" applyNumberFormat="0" applyFill="0" applyBorder="0" applyAlignment="0" applyProtection="0"/>
    <xf numFmtId="168" fontId="35" fillId="0" borderId="0" applyNumberFormat="0" applyFill="0" applyBorder="0" applyAlignment="0" applyProtection="0"/>
    <xf numFmtId="40" fontId="31" fillId="9" borderId="0">
      <alignment horizontal="right"/>
    </xf>
    <xf numFmtId="0" fontId="32" fillId="9" borderId="0">
      <alignment horizontal="right"/>
    </xf>
    <xf numFmtId="0" fontId="33" fillId="9" borderId="9"/>
    <xf numFmtId="0" fontId="33" fillId="0" borderId="0" applyBorder="0">
      <alignment horizontal="centerContinuous"/>
    </xf>
    <xf numFmtId="0" fontId="34" fillId="0" borderId="0" applyBorder="0">
      <alignment horizontal="centerContinuous"/>
    </xf>
    <xf numFmtId="9" fontId="12" fillId="0" borderId="0" applyFont="0" applyFill="0" applyBorder="0" applyAlignment="0" applyProtection="0"/>
    <xf numFmtId="9" fontId="12" fillId="0" borderId="0" applyFont="0" applyFill="0" applyBorder="0" applyAlignment="0" applyProtection="0"/>
    <xf numFmtId="168" fontId="35" fillId="0" borderId="0" applyNumberFormat="0" applyFill="0" applyBorder="0" applyAlignment="0" applyProtection="0"/>
    <xf numFmtId="168" fontId="12" fillId="10" borderId="0"/>
    <xf numFmtId="0" fontId="11" fillId="0" borderId="0"/>
    <xf numFmtId="0" fontId="23" fillId="0" borderId="0"/>
    <xf numFmtId="168" fontId="58" fillId="0" borderId="0" applyNumberFormat="0" applyFill="0" applyBorder="0" applyAlignment="0" applyProtection="0"/>
    <xf numFmtId="180" fontId="35" fillId="0" borderId="0" applyFont="0" applyFill="0" applyBorder="0" applyAlignment="0" applyProtection="0"/>
    <xf numFmtId="192" fontId="35" fillId="0" borderId="0" applyFont="0" applyFill="0" applyBorder="0" applyAlignment="0" applyProtection="0"/>
    <xf numFmtId="168" fontId="59" fillId="0" borderId="0" applyNumberFormat="0" applyFill="0" applyBorder="0" applyAlignment="0" applyProtection="0"/>
    <xf numFmtId="168" fontId="68" fillId="0" borderId="0" applyFont="0" applyFill="0" applyBorder="0" applyAlignment="0" applyProtection="0"/>
    <xf numFmtId="168" fontId="68" fillId="0" borderId="0" applyFont="0" applyFill="0" applyBorder="0" applyAlignment="0" applyProtection="0"/>
    <xf numFmtId="168" fontId="42" fillId="0" borderId="0">
      <alignment vertical="center"/>
    </xf>
    <xf numFmtId="40" fontId="60" fillId="0" borderId="0" applyFont="0" applyFill="0" applyBorder="0" applyAlignment="0" applyProtection="0"/>
    <xf numFmtId="38" fontId="60" fillId="0" borderId="0" applyFont="0" applyFill="0" applyBorder="0" applyAlignment="0" applyProtection="0"/>
    <xf numFmtId="168" fontId="60" fillId="0" borderId="0" applyFont="0" applyFill="0" applyBorder="0" applyAlignment="0" applyProtection="0"/>
    <xf numFmtId="168" fontId="60" fillId="0" borderId="0" applyFont="0" applyFill="0" applyBorder="0" applyAlignment="0" applyProtection="0"/>
    <xf numFmtId="9" fontId="61" fillId="0" borderId="0" applyFont="0" applyFill="0" applyBorder="0" applyAlignment="0" applyProtection="0"/>
    <xf numFmtId="168" fontId="62" fillId="0" borderId="0"/>
    <xf numFmtId="193" fontId="64" fillId="0" borderId="0" applyFont="0" applyFill="0" applyBorder="0" applyAlignment="0" applyProtection="0"/>
    <xf numFmtId="194" fontId="64" fillId="0" borderId="0" applyFont="0" applyFill="0" applyBorder="0" applyAlignment="0" applyProtection="0"/>
    <xf numFmtId="195" fontId="64" fillId="0" borderId="0" applyFont="0" applyFill="0" applyBorder="0" applyAlignment="0" applyProtection="0"/>
    <xf numFmtId="196" fontId="64" fillId="0" borderId="0" applyFont="0" applyFill="0" applyBorder="0" applyAlignment="0" applyProtection="0"/>
    <xf numFmtId="168" fontId="65" fillId="0" borderId="0"/>
    <xf numFmtId="168" fontId="57" fillId="0" borderId="0"/>
    <xf numFmtId="41" fontId="63"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38" fontId="66" fillId="0" borderId="0" applyFont="0" applyFill="0" applyBorder="0" applyAlignment="0" applyProtection="0"/>
    <xf numFmtId="168" fontId="12" fillId="0" borderId="0"/>
    <xf numFmtId="42" fontId="63" fillId="0" borderId="0" applyFont="0" applyFill="0" applyBorder="0" applyAlignment="0" applyProtection="0"/>
    <xf numFmtId="175" fontId="67" fillId="0" borderId="0" applyFont="0" applyFill="0" applyBorder="0" applyAlignment="0" applyProtection="0"/>
    <xf numFmtId="44" fontId="63" fillId="0" borderId="0" applyFont="0" applyFill="0" applyBorder="0" applyAlignment="0" applyProtection="0"/>
    <xf numFmtId="191" fontId="66" fillId="0" borderId="10">
      <alignment horizontal="center"/>
    </xf>
    <xf numFmtId="0" fontId="12" fillId="0" borderId="0"/>
    <xf numFmtId="0" fontId="23" fillId="0" borderId="0"/>
    <xf numFmtId="168" fontId="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68" fontId="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168"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168" fontId="12"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168" fontId="1"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cellStyleXfs>
  <cellXfs count="594">
    <xf numFmtId="0" fontId="0" fillId="0" borderId="0" xfId="0"/>
    <xf numFmtId="0" fontId="2" fillId="2" borderId="0" xfId="0" applyFont="1" applyFill="1"/>
    <xf numFmtId="0" fontId="3" fillId="0" borderId="0" xfId="0" applyFont="1"/>
    <xf numFmtId="0" fontId="5" fillId="0" borderId="0" xfId="0" applyFont="1"/>
    <xf numFmtId="165" fontId="3" fillId="0" borderId="0" xfId="2" applyNumberFormat="1" applyFont="1"/>
    <xf numFmtId="164" fontId="3" fillId="0" borderId="0" xfId="1" applyNumberFormat="1" applyFont="1"/>
    <xf numFmtId="0" fontId="6" fillId="0" borderId="0" xfId="0" applyFont="1"/>
    <xf numFmtId="0" fontId="8" fillId="0" borderId="0" xfId="0" applyFont="1"/>
    <xf numFmtId="164" fontId="4" fillId="0" borderId="0" xfId="1" applyNumberFormat="1" applyFont="1" applyFill="1"/>
    <xf numFmtId="0" fontId="3" fillId="0" borderId="1" xfId="0" applyFont="1" applyBorder="1"/>
    <xf numFmtId="0" fontId="9" fillId="0" borderId="0" xfId="0" applyFont="1"/>
    <xf numFmtId="165" fontId="3" fillId="0" borderId="1" xfId="2" applyNumberFormat="1" applyFont="1" applyBorder="1"/>
    <xf numFmtId="165" fontId="6" fillId="0" borderId="0" xfId="2" applyNumberFormat="1" applyFont="1"/>
    <xf numFmtId="0" fontId="10" fillId="0" borderId="0" xfId="0" applyFont="1"/>
    <xf numFmtId="0" fontId="13" fillId="0" borderId="0" xfId="0" applyFont="1"/>
    <xf numFmtId="164" fontId="13" fillId="0" borderId="0" xfId="1" applyNumberFormat="1" applyFont="1"/>
    <xf numFmtId="165" fontId="13" fillId="0" borderId="0" xfId="2" applyNumberFormat="1" applyFont="1" applyFill="1"/>
    <xf numFmtId="164" fontId="13" fillId="0" borderId="0" xfId="1" applyNumberFormat="1" applyFont="1" applyFill="1"/>
    <xf numFmtId="164" fontId="3" fillId="0" borderId="0" xfId="1" applyNumberFormat="1" applyFont="1" applyFill="1"/>
    <xf numFmtId="0" fontId="15" fillId="0" borderId="0" xfId="4" quotePrefix="1" applyFont="1" applyAlignment="1">
      <alignment horizontal="center" vertical="center"/>
    </xf>
    <xf numFmtId="0" fontId="15" fillId="0" borderId="0" xfId="0" applyFont="1" applyAlignment="1">
      <alignment vertical="center"/>
    </xf>
    <xf numFmtId="0" fontId="16" fillId="0" borderId="0" xfId="0" applyFont="1"/>
    <xf numFmtId="170" fontId="16" fillId="0" borderId="0" xfId="0" applyNumberFormat="1" applyFont="1" applyAlignment="1">
      <alignment horizontal="center"/>
    </xf>
    <xf numFmtId="0" fontId="16" fillId="0" borderId="0" xfId="0" applyFont="1" applyAlignment="1">
      <alignment wrapText="1"/>
    </xf>
    <xf numFmtId="170" fontId="16" fillId="0" borderId="0" xfId="0" applyNumberFormat="1" applyFont="1" applyAlignment="1">
      <alignment horizontal="center" vertical="center"/>
    </xf>
    <xf numFmtId="0" fontId="15" fillId="0" borderId="0" xfId="0" applyFont="1"/>
    <xf numFmtId="170" fontId="15" fillId="0" borderId="0" xfId="0" applyNumberFormat="1" applyFont="1" applyAlignment="1">
      <alignment horizontal="center"/>
    </xf>
    <xf numFmtId="0" fontId="2" fillId="0" borderId="0" xfId="0" applyFont="1"/>
    <xf numFmtId="173" fontId="6" fillId="0" borderId="0" xfId="1" applyNumberFormat="1" applyFont="1" applyFill="1"/>
    <xf numFmtId="173" fontId="6" fillId="0" borderId="0" xfId="0" applyNumberFormat="1" applyFont="1"/>
    <xf numFmtId="0" fontId="17" fillId="0" borderId="0" xfId="0" applyFont="1"/>
    <xf numFmtId="0" fontId="18" fillId="0" borderId="0" xfId="0" applyFont="1"/>
    <xf numFmtId="164" fontId="6" fillId="0" borderId="0" xfId="1" applyNumberFormat="1" applyFont="1" applyFill="1" applyBorder="1"/>
    <xf numFmtId="173" fontId="6" fillId="0" borderId="0" xfId="1" applyNumberFormat="1" applyFont="1" applyFill="1" applyBorder="1"/>
    <xf numFmtId="165" fontId="6" fillId="0" borderId="0" xfId="2" applyNumberFormat="1" applyFont="1" applyFill="1" applyBorder="1"/>
    <xf numFmtId="172" fontId="16" fillId="0" borderId="0" xfId="1" applyNumberFormat="1" applyFont="1" applyFill="1" applyBorder="1" applyAlignment="1">
      <alignment horizontal="center" vertical="center"/>
    </xf>
    <xf numFmtId="0" fontId="6" fillId="0" borderId="0" xfId="0" applyFont="1" applyAlignment="1">
      <alignment horizontal="center"/>
    </xf>
    <xf numFmtId="169" fontId="16" fillId="0" borderId="0" xfId="7" applyNumberFormat="1" applyFont="1" applyAlignment="1">
      <alignment horizontal="left" indent="3"/>
    </xf>
    <xf numFmtId="165" fontId="16" fillId="0" borderId="0" xfId="2" applyNumberFormat="1" applyFont="1"/>
    <xf numFmtId="165" fontId="13" fillId="0" borderId="0" xfId="2" applyNumberFormat="1" applyFont="1"/>
    <xf numFmtId="0" fontId="13" fillId="0" borderId="1" xfId="0" applyFont="1" applyBorder="1"/>
    <xf numFmtId="164" fontId="13" fillId="0" borderId="1" xfId="1" applyNumberFormat="1" applyFont="1" applyBorder="1"/>
    <xf numFmtId="164" fontId="13" fillId="0" borderId="0" xfId="0" applyNumberFormat="1" applyFont="1"/>
    <xf numFmtId="164" fontId="13" fillId="3" borderId="0" xfId="1" applyNumberFormat="1" applyFont="1" applyFill="1"/>
    <xf numFmtId="165" fontId="13" fillId="3" borderId="0" xfId="2" applyNumberFormat="1" applyFont="1" applyFill="1"/>
    <xf numFmtId="166" fontId="13" fillId="0" borderId="0" xfId="1" applyNumberFormat="1" applyFont="1"/>
    <xf numFmtId="164" fontId="3" fillId="3" borderId="0" xfId="1" applyNumberFormat="1" applyFont="1" applyFill="1"/>
    <xf numFmtId="165" fontId="3" fillId="3" borderId="0" xfId="2" applyNumberFormat="1" applyFont="1" applyFill="1"/>
    <xf numFmtId="174" fontId="3" fillId="0" borderId="0" xfId="2" applyNumberFormat="1" applyFont="1"/>
    <xf numFmtId="0" fontId="6" fillId="5" borderId="0" xfId="0" applyFont="1" applyFill="1"/>
    <xf numFmtId="0" fontId="20" fillId="5" borderId="0" xfId="14" applyFont="1" applyFill="1"/>
    <xf numFmtId="0" fontId="6" fillId="5" borderId="0" xfId="0" quotePrefix="1" applyFont="1" applyFill="1"/>
    <xf numFmtId="0" fontId="2" fillId="2" borderId="0" xfId="0" quotePrefix="1" applyFont="1" applyFill="1"/>
    <xf numFmtId="0" fontId="19" fillId="5" borderId="0" xfId="14" applyFill="1"/>
    <xf numFmtId="164" fontId="13" fillId="0" borderId="0" xfId="1" applyNumberFormat="1" applyFont="1" applyBorder="1"/>
    <xf numFmtId="165" fontId="13" fillId="0" borderId="0" xfId="2" applyNumberFormat="1" applyFont="1" applyBorder="1"/>
    <xf numFmtId="166" fontId="13" fillId="0" borderId="0" xfId="1" applyNumberFormat="1" applyFont="1" applyBorder="1"/>
    <xf numFmtId="164" fontId="3" fillId="0" borderId="0" xfId="1" applyNumberFormat="1" applyFont="1" applyBorder="1"/>
    <xf numFmtId="165" fontId="3" fillId="0" borderId="0" xfId="2" applyNumberFormat="1" applyFont="1" applyBorder="1"/>
    <xf numFmtId="164" fontId="3" fillId="0" borderId="0" xfId="1" applyNumberFormat="1" applyFont="1" applyFill="1" applyBorder="1"/>
    <xf numFmtId="174" fontId="3" fillId="0" borderId="0" xfId="2" applyNumberFormat="1" applyFont="1" applyBorder="1"/>
    <xf numFmtId="165" fontId="16" fillId="0" borderId="0" xfId="2" applyNumberFormat="1" applyFont="1" applyFill="1" applyBorder="1"/>
    <xf numFmtId="173" fontId="16" fillId="0" borderId="0" xfId="1" applyNumberFormat="1" applyFont="1" applyFill="1" applyBorder="1"/>
    <xf numFmtId="173" fontId="16" fillId="0" borderId="0" xfId="0" applyNumberFormat="1" applyFont="1"/>
    <xf numFmtId="165" fontId="13" fillId="0" borderId="1" xfId="2" applyNumberFormat="1" applyFont="1" applyBorder="1"/>
    <xf numFmtId="173" fontId="16" fillId="0" borderId="0" xfId="1" applyNumberFormat="1" applyFont="1" applyFill="1"/>
    <xf numFmtId="164" fontId="13" fillId="0" borderId="0" xfId="1" applyNumberFormat="1" applyFont="1" applyFill="1" applyBorder="1"/>
    <xf numFmtId="165" fontId="13" fillId="12" borderId="0" xfId="2" applyNumberFormat="1" applyFont="1" applyFill="1" applyBorder="1"/>
    <xf numFmtId="0" fontId="70" fillId="0" borderId="0" xfId="0" applyFont="1"/>
    <xf numFmtId="167" fontId="13" fillId="11" borderId="0" xfId="1" applyNumberFormat="1" applyFont="1" applyFill="1" applyBorder="1"/>
    <xf numFmtId="165" fontId="13" fillId="11" borderId="0" xfId="2" applyNumberFormat="1" applyFont="1" applyFill="1" applyBorder="1"/>
    <xf numFmtId="174" fontId="13" fillId="0" borderId="0" xfId="2" applyNumberFormat="1" applyFont="1" applyBorder="1"/>
    <xf numFmtId="165" fontId="6" fillId="0" borderId="0" xfId="0" applyNumberFormat="1" applyFont="1"/>
    <xf numFmtId="172" fontId="6" fillId="0" borderId="0" xfId="0" applyNumberFormat="1" applyFont="1"/>
    <xf numFmtId="164" fontId="6" fillId="0" borderId="0" xfId="0" applyNumberFormat="1" applyFont="1"/>
    <xf numFmtId="43" fontId="6" fillId="0" borderId="0" xfId="0" applyNumberFormat="1" applyFont="1"/>
    <xf numFmtId="166" fontId="6" fillId="0" borderId="0" xfId="1" applyNumberFormat="1" applyFont="1" applyFill="1" applyBorder="1"/>
    <xf numFmtId="0" fontId="71" fillId="0" borderId="0" xfId="3" applyNumberFormat="1" applyFont="1" applyAlignment="1">
      <alignment horizontal="left"/>
    </xf>
    <xf numFmtId="17" fontId="71" fillId="0" borderId="0" xfId="4" quotePrefix="1" applyNumberFormat="1" applyFont="1" applyAlignment="1">
      <alignment horizontal="center" vertical="center"/>
    </xf>
    <xf numFmtId="0" fontId="71" fillId="0" borderId="0" xfId="4" quotePrefix="1" applyFont="1" applyAlignment="1">
      <alignment horizontal="center" vertical="center"/>
    </xf>
    <xf numFmtId="170" fontId="13" fillId="0" borderId="0" xfId="9" applyNumberFormat="1" applyFont="1" applyBorder="1"/>
    <xf numFmtId="172" fontId="13" fillId="0" borderId="0" xfId="1" applyNumberFormat="1" applyFont="1" applyFill="1" applyBorder="1" applyAlignment="1">
      <alignment horizontal="center" vertical="center"/>
    </xf>
    <xf numFmtId="172" fontId="13" fillId="0" borderId="1" xfId="1" applyNumberFormat="1" applyFont="1" applyFill="1" applyBorder="1" applyAlignment="1">
      <alignment horizontal="center" vertical="center"/>
    </xf>
    <xf numFmtId="170" fontId="3" fillId="0" borderId="0" xfId="0" applyNumberFormat="1" applyFont="1"/>
    <xf numFmtId="172" fontId="10" fillId="0" borderId="0" xfId="1" applyNumberFormat="1" applyFont="1" applyFill="1" applyBorder="1" applyAlignment="1">
      <alignment horizontal="center" vertical="center"/>
    </xf>
    <xf numFmtId="0" fontId="3" fillId="0" borderId="0" xfId="0" applyFont="1" applyAlignment="1">
      <alignment horizontal="center"/>
    </xf>
    <xf numFmtId="172" fontId="71" fillId="0" borderId="0" xfId="1" applyNumberFormat="1" applyFont="1" applyFill="1" applyBorder="1" applyAlignment="1">
      <alignment horizontal="center" vertical="center"/>
    </xf>
    <xf numFmtId="165" fontId="71" fillId="0" borderId="0" xfId="2" applyNumberFormat="1" applyFont="1" applyFill="1" applyBorder="1" applyAlignment="1">
      <alignment horizontal="center" vertical="center"/>
    </xf>
    <xf numFmtId="170" fontId="13" fillId="0" borderId="0" xfId="9" applyNumberFormat="1" applyFont="1" applyBorder="1" applyAlignment="1">
      <alignment horizontal="left"/>
    </xf>
    <xf numFmtId="170" fontId="13" fillId="0" borderId="0" xfId="9" applyNumberFormat="1" applyFont="1" applyFill="1" applyBorder="1" applyAlignment="1">
      <alignment horizontal="left"/>
    </xf>
    <xf numFmtId="172" fontId="3" fillId="0" borderId="0" xfId="1" applyNumberFormat="1" applyFont="1" applyFill="1" applyBorder="1" applyAlignment="1">
      <alignment horizontal="center" vertical="center"/>
    </xf>
    <xf numFmtId="43" fontId="3" fillId="0" borderId="0" xfId="0" applyNumberFormat="1" applyFont="1"/>
    <xf numFmtId="170" fontId="71" fillId="0" borderId="0" xfId="9" applyNumberFormat="1" applyFont="1" applyFill="1" applyBorder="1" applyAlignment="1">
      <alignment horizontal="left" indent="1"/>
    </xf>
    <xf numFmtId="171" fontId="10" fillId="0" borderId="0" xfId="0" applyNumberFormat="1" applyFont="1"/>
    <xf numFmtId="0" fontId="71" fillId="0" borderId="0" xfId="3" applyNumberFormat="1" applyFont="1" applyAlignment="1">
      <alignment horizontal="left" wrapText="1"/>
    </xf>
    <xf numFmtId="172" fontId="71" fillId="0" borderId="1" xfId="1" applyNumberFormat="1" applyFont="1" applyFill="1" applyBorder="1" applyAlignment="1">
      <alignment horizontal="center" vertical="center"/>
    </xf>
    <xf numFmtId="0" fontId="13" fillId="0" borderId="0" xfId="3" applyNumberFormat="1" applyFont="1" applyAlignment="1">
      <alignment horizontal="left"/>
    </xf>
    <xf numFmtId="172" fontId="13" fillId="0" borderId="0" xfId="1" applyNumberFormat="1" applyFont="1" applyFill="1" applyBorder="1" applyAlignment="1">
      <alignment horizontal="center"/>
    </xf>
    <xf numFmtId="172" fontId="71" fillId="0" borderId="1" xfId="1" applyNumberFormat="1" applyFont="1" applyFill="1" applyBorder="1" applyAlignment="1">
      <alignment horizontal="center"/>
    </xf>
    <xf numFmtId="0" fontId="71" fillId="0" borderId="0" xfId="0" applyFont="1"/>
    <xf numFmtId="165" fontId="3" fillId="0" borderId="0" xfId="2" applyNumberFormat="1" applyFont="1" applyFill="1" applyBorder="1"/>
    <xf numFmtId="170" fontId="13" fillId="0" borderId="0" xfId="0" applyNumberFormat="1" applyFont="1" applyAlignment="1">
      <alignment horizontal="center"/>
    </xf>
    <xf numFmtId="170" fontId="13" fillId="0" borderId="0" xfId="7" applyNumberFormat="1" applyFont="1" applyAlignment="1">
      <alignment horizontal="left" indent="3"/>
    </xf>
    <xf numFmtId="169" fontId="13" fillId="0" borderId="0" xfId="8" applyFont="1" applyFill="1" applyBorder="1" applyAlignment="1">
      <alignment horizontal="center" vertical="center"/>
    </xf>
    <xf numFmtId="164" fontId="3" fillId="0" borderId="0" xfId="0" applyNumberFormat="1" applyFont="1"/>
    <xf numFmtId="165" fontId="3" fillId="0" borderId="0" xfId="0" applyNumberFormat="1" applyFont="1"/>
    <xf numFmtId="0" fontId="3" fillId="0" borderId="0" xfId="0" quotePrefix="1" applyFont="1"/>
    <xf numFmtId="172" fontId="3" fillId="0" borderId="0" xfId="1" applyNumberFormat="1" applyFont="1" applyFill="1" applyBorder="1" applyAlignment="1">
      <alignment horizontal="center"/>
    </xf>
    <xf numFmtId="0" fontId="71" fillId="0" borderId="0" xfId="0" applyFont="1" applyAlignment="1">
      <alignment horizontal="center"/>
    </xf>
    <xf numFmtId="165" fontId="3" fillId="0" borderId="0" xfId="2" applyNumberFormat="1" applyFont="1" applyFill="1" applyBorder="1" applyAlignment="1">
      <alignment horizontal="center"/>
    </xf>
    <xf numFmtId="165" fontId="13" fillId="0" borderId="0" xfId="2" applyNumberFormat="1" applyFont="1" applyFill="1" applyBorder="1" applyAlignment="1">
      <alignment horizontal="center"/>
    </xf>
    <xf numFmtId="0" fontId="13" fillId="0" borderId="0" xfId="0" applyFont="1" applyAlignment="1">
      <alignment horizontal="center"/>
    </xf>
    <xf numFmtId="169" fontId="13" fillId="0" borderId="0" xfId="7" applyNumberFormat="1" applyFont="1" applyAlignment="1">
      <alignment horizontal="center"/>
    </xf>
    <xf numFmtId="164" fontId="3" fillId="0" borderId="0" xfId="1" applyNumberFormat="1" applyFont="1" applyAlignment="1">
      <alignment horizontal="center"/>
    </xf>
    <xf numFmtId="165" fontId="3" fillId="0" borderId="0" xfId="2" applyNumberFormat="1" applyFont="1" applyAlignment="1">
      <alignment horizontal="center"/>
    </xf>
    <xf numFmtId="165" fontId="3" fillId="0" borderId="0" xfId="2" applyNumberFormat="1" applyFont="1" applyBorder="1" applyAlignment="1">
      <alignment horizontal="center"/>
    </xf>
    <xf numFmtId="165" fontId="13" fillId="0" borderId="0" xfId="2" applyNumberFormat="1" applyFont="1" applyBorder="1" applyAlignment="1">
      <alignment horizontal="center"/>
    </xf>
    <xf numFmtId="165" fontId="13" fillId="0" borderId="0" xfId="2" applyNumberFormat="1" applyFont="1" applyAlignment="1">
      <alignment horizontal="center"/>
    </xf>
    <xf numFmtId="164" fontId="3" fillId="0" borderId="0" xfId="0" applyNumberFormat="1" applyFont="1" applyAlignment="1">
      <alignment horizontal="center"/>
    </xf>
    <xf numFmtId="164" fontId="13" fillId="0" borderId="0" xfId="0" applyNumberFormat="1" applyFont="1" applyAlignment="1">
      <alignment horizontal="center"/>
    </xf>
    <xf numFmtId="165" fontId="3" fillId="0" borderId="0" xfId="0" applyNumberFormat="1" applyFont="1" applyAlignment="1">
      <alignment horizontal="center"/>
    </xf>
    <xf numFmtId="165" fontId="13" fillId="0" borderId="0" xfId="0" applyNumberFormat="1" applyFont="1" applyAlignment="1">
      <alignment horizontal="center"/>
    </xf>
    <xf numFmtId="0" fontId="16" fillId="0" borderId="0" xfId="0" applyFont="1" applyAlignment="1">
      <alignment horizontal="center"/>
    </xf>
    <xf numFmtId="165" fontId="6" fillId="0" borderId="0" xfId="2" applyNumberFormat="1" applyFont="1" applyAlignment="1">
      <alignment horizontal="center"/>
    </xf>
    <xf numFmtId="165" fontId="6" fillId="0" borderId="0" xfId="2" applyNumberFormat="1" applyFont="1" applyBorder="1" applyAlignment="1">
      <alignment horizontal="center"/>
    </xf>
    <xf numFmtId="165" fontId="16" fillId="0" borderId="0" xfId="2" applyNumberFormat="1" applyFont="1" applyBorder="1" applyAlignment="1">
      <alignment horizontal="center"/>
    </xf>
    <xf numFmtId="170" fontId="71" fillId="0" borderId="0" xfId="9" applyNumberFormat="1" applyFont="1" applyFill="1" applyBorder="1" applyAlignment="1">
      <alignment horizontal="left"/>
    </xf>
    <xf numFmtId="0" fontId="3" fillId="0" borderId="0" xfId="0" applyFont="1" applyAlignment="1">
      <alignment horizontal="left"/>
    </xf>
    <xf numFmtId="170" fontId="71" fillId="0" borderId="0" xfId="9" applyNumberFormat="1" applyFont="1" applyBorder="1" applyAlignment="1">
      <alignment horizontal="left"/>
    </xf>
    <xf numFmtId="172" fontId="10" fillId="0" borderId="10" xfId="1" applyNumberFormat="1" applyFont="1" applyFill="1" applyBorder="1" applyAlignment="1">
      <alignment horizontal="center" vertical="center"/>
    </xf>
    <xf numFmtId="172" fontId="10" fillId="0" borderId="8" xfId="1" applyNumberFormat="1" applyFont="1" applyFill="1" applyBorder="1" applyAlignment="1">
      <alignment horizontal="center" vertical="center"/>
    </xf>
    <xf numFmtId="172" fontId="71" fillId="0" borderId="8" xfId="1" applyNumberFormat="1" applyFont="1" applyFill="1" applyBorder="1" applyAlignment="1">
      <alignment horizontal="center" vertical="center"/>
    </xf>
    <xf numFmtId="172" fontId="71" fillId="0" borderId="10" xfId="1" applyNumberFormat="1" applyFont="1" applyFill="1" applyBorder="1" applyAlignment="1">
      <alignment horizontal="center" vertical="center"/>
    </xf>
    <xf numFmtId="165" fontId="3" fillId="0" borderId="10" xfId="2" applyNumberFormat="1" applyFont="1" applyBorder="1" applyAlignment="1">
      <alignment horizontal="center"/>
    </xf>
    <xf numFmtId="165" fontId="3" fillId="0" borderId="8" xfId="2" applyNumberFormat="1" applyFont="1" applyBorder="1" applyAlignment="1">
      <alignment horizontal="center"/>
    </xf>
    <xf numFmtId="165" fontId="13" fillId="0" borderId="8" xfId="2" applyNumberFormat="1" applyFont="1" applyBorder="1" applyAlignment="1">
      <alignment horizontal="center"/>
    </xf>
    <xf numFmtId="164" fontId="10" fillId="0" borderId="0" xfId="1" applyNumberFormat="1" applyFont="1" applyAlignment="1">
      <alignment horizontal="center"/>
    </xf>
    <xf numFmtId="165" fontId="10" fillId="0" borderId="0" xfId="2" applyNumberFormat="1" applyFont="1" applyAlignment="1">
      <alignment horizontal="center"/>
    </xf>
    <xf numFmtId="165" fontId="10" fillId="0" borderId="0" xfId="2" applyNumberFormat="1" applyFont="1" applyBorder="1" applyAlignment="1">
      <alignment horizontal="center"/>
    </xf>
    <xf numFmtId="165" fontId="71" fillId="0" borderId="0" xfId="2" applyNumberFormat="1" applyFont="1" applyBorder="1" applyAlignment="1">
      <alignment horizontal="center"/>
    </xf>
    <xf numFmtId="165" fontId="10" fillId="0" borderId="10" xfId="2" applyNumberFormat="1" applyFont="1" applyBorder="1" applyAlignment="1">
      <alignment horizontal="center"/>
    </xf>
    <xf numFmtId="165" fontId="10" fillId="0" borderId="8" xfId="2" applyNumberFormat="1" applyFont="1" applyBorder="1" applyAlignment="1">
      <alignment horizontal="center"/>
    </xf>
    <xf numFmtId="165" fontId="71" fillId="0" borderId="8" xfId="2" applyNumberFormat="1" applyFont="1" applyBorder="1" applyAlignment="1">
      <alignment horizontal="center"/>
    </xf>
    <xf numFmtId="0" fontId="10" fillId="0" borderId="0" xfId="0" applyFont="1" applyAlignment="1">
      <alignment horizontal="center"/>
    </xf>
    <xf numFmtId="0" fontId="73" fillId="0" borderId="0" xfId="0" applyFont="1"/>
    <xf numFmtId="170" fontId="13" fillId="0" borderId="0" xfId="10" applyNumberFormat="1" applyFont="1" applyAlignment="1">
      <alignment horizontal="center"/>
    </xf>
    <xf numFmtId="170" fontId="13" fillId="0" borderId="0" xfId="10" applyNumberFormat="1" applyFont="1"/>
    <xf numFmtId="170" fontId="71" fillId="0" borderId="0" xfId="10" applyNumberFormat="1" applyFont="1"/>
    <xf numFmtId="3" fontId="13" fillId="0" borderId="0" xfId="10" applyNumberFormat="1" applyFont="1" applyAlignment="1">
      <alignment horizontal="center" vertical="center"/>
    </xf>
    <xf numFmtId="170" fontId="13" fillId="0" borderId="0" xfId="10" applyNumberFormat="1" applyFont="1" applyAlignment="1">
      <alignment horizontal="left" indent="1"/>
    </xf>
    <xf numFmtId="170" fontId="13" fillId="0" borderId="0" xfId="8" applyNumberFormat="1" applyFont="1" applyFill="1" applyBorder="1" applyAlignment="1">
      <alignment horizontal="center" vertical="center"/>
    </xf>
    <xf numFmtId="170" fontId="71" fillId="0" borderId="0" xfId="10" applyNumberFormat="1" applyFont="1" applyAlignment="1">
      <alignment horizontal="left" indent="1"/>
    </xf>
    <xf numFmtId="170" fontId="71" fillId="0" borderId="0" xfId="8" applyNumberFormat="1" applyFont="1" applyFill="1" applyBorder="1" applyAlignment="1">
      <alignment horizontal="center" vertical="center"/>
    </xf>
    <xf numFmtId="170" fontId="13" fillId="0" borderId="0" xfId="10" applyNumberFormat="1" applyFont="1" applyAlignment="1">
      <alignment horizontal="left" wrapText="1" indent="1"/>
    </xf>
    <xf numFmtId="170" fontId="3" fillId="0" borderId="0" xfId="0" applyNumberFormat="1" applyFont="1" applyAlignment="1">
      <alignment horizontal="center"/>
    </xf>
    <xf numFmtId="170" fontId="71" fillId="0" borderId="0" xfId="7" applyNumberFormat="1" applyFont="1"/>
    <xf numFmtId="168" fontId="71" fillId="0" borderId="0" xfId="11" applyFont="1"/>
    <xf numFmtId="168" fontId="13" fillId="0" borderId="0" xfId="11" applyFont="1"/>
    <xf numFmtId="168" fontId="75" fillId="0" borderId="0" xfId="12" applyFont="1" applyAlignment="1">
      <alignment horizontal="left"/>
    </xf>
    <xf numFmtId="168" fontId="13" fillId="0" borderId="0" xfId="11" applyFont="1" applyAlignment="1">
      <alignment horizontal="left"/>
    </xf>
    <xf numFmtId="168" fontId="13" fillId="0" borderId="0" xfId="12" applyFont="1" applyAlignment="1">
      <alignment horizontal="left"/>
    </xf>
    <xf numFmtId="0" fontId="71" fillId="0" borderId="0" xfId="13" applyFont="1" applyAlignment="1">
      <alignment horizontal="left" vertical="center" wrapText="1"/>
    </xf>
    <xf numFmtId="168" fontId="75" fillId="0" borderId="0" xfId="11" applyFont="1"/>
    <xf numFmtId="168" fontId="71" fillId="0" borderId="0" xfId="11" applyFont="1" applyAlignment="1">
      <alignment horizontal="left"/>
    </xf>
    <xf numFmtId="168" fontId="13" fillId="0" borderId="0" xfId="5" applyFont="1"/>
    <xf numFmtId="168" fontId="71" fillId="0" borderId="0" xfId="12" applyFont="1" applyAlignment="1">
      <alignment horizontal="left"/>
    </xf>
    <xf numFmtId="0" fontId="13" fillId="0" borderId="0" xfId="13" applyFont="1" applyAlignment="1">
      <alignment horizontal="left" vertical="center" wrapText="1"/>
    </xf>
    <xf numFmtId="0" fontId="13" fillId="0" borderId="0" xfId="11" applyNumberFormat="1" applyFont="1" applyAlignment="1">
      <alignment horizontal="left"/>
    </xf>
    <xf numFmtId="164" fontId="3" fillId="0" borderId="0" xfId="1" applyNumberFormat="1" applyFont="1" applyFill="1" applyBorder="1" applyAlignment="1">
      <alignment horizontal="center"/>
    </xf>
    <xf numFmtId="164" fontId="13" fillId="0" borderId="0" xfId="1" applyNumberFormat="1" applyFont="1" applyFill="1" applyBorder="1" applyAlignment="1">
      <alignment horizontal="center"/>
    </xf>
    <xf numFmtId="164" fontId="3" fillId="0" borderId="1" xfId="1" applyNumberFormat="1" applyFont="1" applyFill="1" applyBorder="1" applyAlignment="1">
      <alignment horizontal="center"/>
    </xf>
    <xf numFmtId="164" fontId="10" fillId="0" borderId="0" xfId="1" applyNumberFormat="1" applyFont="1" applyFill="1" applyBorder="1" applyAlignment="1">
      <alignment horizontal="center"/>
    </xf>
    <xf numFmtId="165" fontId="3" fillId="4" borderId="0" xfId="2" applyNumberFormat="1" applyFont="1" applyFill="1" applyBorder="1" applyAlignment="1">
      <alignment horizontal="center"/>
    </xf>
    <xf numFmtId="0" fontId="10" fillId="0" borderId="1" xfId="0" applyFont="1" applyBorder="1"/>
    <xf numFmtId="164" fontId="13" fillId="11" borderId="0" xfId="1" applyNumberFormat="1" applyFont="1" applyFill="1" applyBorder="1"/>
    <xf numFmtId="165" fontId="3" fillId="0" borderId="0" xfId="2" applyNumberFormat="1" applyFont="1" applyFill="1"/>
    <xf numFmtId="0" fontId="72" fillId="0" borderId="0" xfId="0" applyFont="1"/>
    <xf numFmtId="164" fontId="10" fillId="0" borderId="0" xfId="1" applyNumberFormat="1" applyFont="1" applyFill="1" applyAlignment="1">
      <alignment horizontal="center"/>
    </xf>
    <xf numFmtId="164" fontId="3" fillId="0" borderId="0" xfId="1" applyNumberFormat="1" applyFont="1" applyFill="1" applyAlignment="1">
      <alignment horizontal="center"/>
    </xf>
    <xf numFmtId="164" fontId="13" fillId="0" borderId="0" xfId="1" applyNumberFormat="1" applyFont="1" applyFill="1" applyAlignment="1">
      <alignment horizontal="center"/>
    </xf>
    <xf numFmtId="165" fontId="3" fillId="0" borderId="0" xfId="2" applyNumberFormat="1" applyFont="1" applyFill="1" applyAlignment="1">
      <alignment horizontal="center"/>
    </xf>
    <xf numFmtId="164" fontId="3" fillId="0" borderId="0" xfId="1" applyNumberFormat="1" applyFont="1" applyBorder="1" applyAlignment="1">
      <alignment horizontal="center"/>
    </xf>
    <xf numFmtId="0" fontId="10" fillId="0" borderId="0" xfId="0" quotePrefix="1" applyFont="1"/>
    <xf numFmtId="0" fontId="10" fillId="0" borderId="2" xfId="0" applyFont="1" applyBorder="1"/>
    <xf numFmtId="164" fontId="71" fillId="0" borderId="2" xfId="1" applyNumberFormat="1" applyFont="1" applyFill="1" applyBorder="1" applyAlignment="1">
      <alignment horizontal="center"/>
    </xf>
    <xf numFmtId="164" fontId="10" fillId="0" borderId="2" xfId="1" applyNumberFormat="1" applyFont="1" applyFill="1" applyBorder="1" applyAlignment="1">
      <alignment horizontal="center"/>
    </xf>
    <xf numFmtId="0" fontId="71" fillId="0" borderId="2" xfId="0" applyFont="1" applyBorder="1"/>
    <xf numFmtId="164" fontId="70" fillId="0" borderId="0" xfId="1" applyNumberFormat="1" applyFont="1"/>
    <xf numFmtId="164" fontId="71" fillId="0" borderId="0" xfId="1" applyNumberFormat="1" applyFont="1"/>
    <xf numFmtId="164" fontId="13" fillId="0" borderId="0" xfId="1" applyNumberFormat="1" applyFont="1" applyAlignment="1">
      <alignment horizontal="center"/>
    </xf>
    <xf numFmtId="164" fontId="13" fillId="0" borderId="0" xfId="1" applyNumberFormat="1" applyFont="1" applyBorder="1" applyAlignment="1">
      <alignment horizontal="center"/>
    </xf>
    <xf numFmtId="164" fontId="71" fillId="0" borderId="0" xfId="1" applyNumberFormat="1" applyFont="1" applyBorder="1"/>
    <xf numFmtId="165" fontId="5" fillId="0" borderId="0" xfId="2" applyNumberFormat="1" applyFont="1"/>
    <xf numFmtId="0" fontId="7" fillId="0" borderId="0" xfId="0" applyFont="1"/>
    <xf numFmtId="164" fontId="3" fillId="0" borderId="10" xfId="1" applyNumberFormat="1" applyFont="1" applyBorder="1"/>
    <xf numFmtId="164" fontId="3" fillId="0" borderId="8" xfId="1" applyNumberFormat="1" applyFont="1" applyBorder="1"/>
    <xf numFmtId="164" fontId="13" fillId="0" borderId="8" xfId="1" applyNumberFormat="1" applyFont="1" applyBorder="1"/>
    <xf numFmtId="166" fontId="16" fillId="0" borderId="0" xfId="1" applyNumberFormat="1" applyFont="1" applyFill="1" applyBorder="1"/>
    <xf numFmtId="43" fontId="13" fillId="0" borderId="0" xfId="1" applyFont="1"/>
    <xf numFmtId="9" fontId="13" fillId="0" borderId="0" xfId="2" applyFont="1"/>
    <xf numFmtId="43" fontId="13" fillId="11" borderId="0" xfId="1" applyFont="1" applyFill="1" applyBorder="1" applyAlignment="1">
      <alignment horizontal="center"/>
    </xf>
    <xf numFmtId="167" fontId="13" fillId="0" borderId="0" xfId="1" applyNumberFormat="1" applyFont="1"/>
    <xf numFmtId="9" fontId="71" fillId="0" borderId="0" xfId="2" applyFont="1"/>
    <xf numFmtId="164" fontId="13" fillId="3" borderId="0" xfId="1" applyNumberFormat="1" applyFont="1" applyFill="1" applyAlignment="1">
      <alignment horizontal="center"/>
    </xf>
    <xf numFmtId="0" fontId="3" fillId="0" borderId="2" xfId="0" applyFont="1" applyBorder="1"/>
    <xf numFmtId="167" fontId="13" fillId="0" borderId="0" xfId="1" applyNumberFormat="1" applyFont="1" applyBorder="1"/>
    <xf numFmtId="165" fontId="5" fillId="0" borderId="0" xfId="2" applyNumberFormat="1" applyFont="1" applyAlignment="1">
      <alignment horizontal="center"/>
    </xf>
    <xf numFmtId="165" fontId="5" fillId="0" borderId="0" xfId="2" applyNumberFormat="1" applyFont="1" applyBorder="1" applyAlignment="1">
      <alignment horizontal="center"/>
    </xf>
    <xf numFmtId="165" fontId="70" fillId="0" borderId="0" xfId="2" applyNumberFormat="1" applyFont="1" applyBorder="1" applyAlignment="1">
      <alignment horizontal="center"/>
    </xf>
    <xf numFmtId="164" fontId="10" fillId="0" borderId="0" xfId="0" applyNumberFormat="1" applyFont="1"/>
    <xf numFmtId="165" fontId="70" fillId="0" borderId="0" xfId="2" applyNumberFormat="1" applyFont="1" applyAlignment="1">
      <alignment horizontal="center"/>
    </xf>
    <xf numFmtId="165" fontId="5" fillId="0" borderId="11" xfId="2" applyNumberFormat="1" applyFont="1" applyBorder="1" applyAlignment="1">
      <alignment horizontal="center"/>
    </xf>
    <xf numFmtId="165" fontId="5" fillId="0" borderId="7" xfId="2" applyNumberFormat="1" applyFont="1" applyBorder="1" applyAlignment="1">
      <alignment horizontal="center"/>
    </xf>
    <xf numFmtId="165" fontId="70" fillId="0" borderId="7" xfId="2" applyNumberFormat="1" applyFont="1" applyBorder="1" applyAlignment="1">
      <alignment horizontal="center"/>
    </xf>
    <xf numFmtId="164" fontId="5" fillId="0" borderId="0" xfId="1" applyNumberFormat="1" applyFont="1" applyAlignment="1">
      <alignment horizontal="center"/>
    </xf>
    <xf numFmtId="164" fontId="5" fillId="0" borderId="0" xfId="1" applyNumberFormat="1" applyFont="1" applyBorder="1" applyAlignment="1">
      <alignment horizontal="center"/>
    </xf>
    <xf numFmtId="164" fontId="70" fillId="0" borderId="0" xfId="1" applyNumberFormat="1" applyFont="1" applyBorder="1" applyAlignment="1">
      <alignment horizontal="center"/>
    </xf>
    <xf numFmtId="0" fontId="5" fillId="0" borderId="0" xfId="0" applyFont="1" applyAlignment="1">
      <alignment horizontal="center"/>
    </xf>
    <xf numFmtId="0" fontId="70" fillId="0" borderId="0" xfId="0" applyFont="1" applyAlignment="1">
      <alignment horizontal="center"/>
    </xf>
    <xf numFmtId="164" fontId="3" fillId="0" borderId="11" xfId="0" applyNumberFormat="1" applyFont="1" applyBorder="1" applyAlignment="1">
      <alignment horizontal="center"/>
    </xf>
    <xf numFmtId="164" fontId="3" fillId="0" borderId="7" xfId="0" applyNumberFormat="1" applyFont="1" applyBorder="1" applyAlignment="1">
      <alignment horizontal="center"/>
    </xf>
    <xf numFmtId="164" fontId="13" fillId="0" borderId="7" xfId="0" applyNumberFormat="1" applyFont="1" applyBorder="1" applyAlignment="1">
      <alignment horizontal="center"/>
    </xf>
    <xf numFmtId="0" fontId="74" fillId="0" borderId="0" xfId="0" applyFont="1"/>
    <xf numFmtId="164" fontId="13" fillId="4" borderId="0" xfId="1" applyNumberFormat="1" applyFont="1" applyFill="1" applyAlignment="1">
      <alignment horizontal="center"/>
    </xf>
    <xf numFmtId="164" fontId="13" fillId="4" borderId="0" xfId="1" applyNumberFormat="1" applyFont="1" applyFill="1" applyBorder="1" applyAlignment="1">
      <alignment horizontal="center"/>
    </xf>
    <xf numFmtId="165" fontId="13" fillId="4" borderId="0" xfId="2" applyNumberFormat="1" applyFont="1" applyFill="1" applyAlignment="1">
      <alignment horizontal="center"/>
    </xf>
    <xf numFmtId="165" fontId="13" fillId="11" borderId="0" xfId="2" applyNumberFormat="1" applyFont="1" applyFill="1" applyAlignment="1">
      <alignment horizontal="center"/>
    </xf>
    <xf numFmtId="0" fontId="13" fillId="4" borderId="0" xfId="0" applyFont="1" applyFill="1" applyAlignment="1">
      <alignment horizontal="center"/>
    </xf>
    <xf numFmtId="166" fontId="13" fillId="4" borderId="0" xfId="1" applyNumberFormat="1" applyFont="1" applyFill="1" applyAlignment="1">
      <alignment horizontal="center"/>
    </xf>
    <xf numFmtId="166" fontId="13" fillId="0" borderId="0" xfId="1" applyNumberFormat="1" applyFont="1" applyAlignment="1">
      <alignment horizontal="center"/>
    </xf>
    <xf numFmtId="43" fontId="13" fillId="4" borderId="0" xfId="1" applyFont="1" applyFill="1" applyAlignment="1">
      <alignment horizontal="center"/>
    </xf>
    <xf numFmtId="43" fontId="13" fillId="0" borderId="0" xfId="1" applyFont="1" applyAlignment="1">
      <alignment horizontal="center"/>
    </xf>
    <xf numFmtId="165" fontId="13" fillId="4" borderId="0" xfId="0" applyNumberFormat="1" applyFont="1" applyFill="1" applyAlignment="1">
      <alignment horizontal="center"/>
    </xf>
    <xf numFmtId="164" fontId="72" fillId="0" borderId="0" xfId="0" applyNumberFormat="1" applyFont="1" applyAlignment="1">
      <alignment horizontal="center"/>
    </xf>
    <xf numFmtId="164" fontId="71" fillId="0" borderId="0" xfId="0" applyNumberFormat="1" applyFont="1" applyAlignment="1">
      <alignment horizontal="center"/>
    </xf>
    <xf numFmtId="164" fontId="3" fillId="4" borderId="0" xfId="1" applyNumberFormat="1" applyFont="1" applyFill="1" applyAlignment="1">
      <alignment horizontal="center"/>
    </xf>
    <xf numFmtId="164" fontId="3" fillId="4" borderId="0" xfId="0" applyNumberFormat="1" applyFont="1" applyFill="1" applyAlignment="1">
      <alignment horizontal="center"/>
    </xf>
    <xf numFmtId="0" fontId="3" fillId="4" borderId="0" xfId="0" applyFont="1" applyFill="1" applyAlignment="1">
      <alignment horizontal="center"/>
    </xf>
    <xf numFmtId="165" fontId="3" fillId="4" borderId="0" xfId="2" applyNumberFormat="1" applyFont="1" applyFill="1" applyAlignment="1">
      <alignment horizontal="center"/>
    </xf>
    <xf numFmtId="165" fontId="13" fillId="0" borderId="0" xfId="2" applyNumberFormat="1" applyFont="1" applyFill="1" applyAlignment="1">
      <alignment horizontal="center"/>
    </xf>
    <xf numFmtId="164" fontId="3" fillId="4" borderId="0" xfId="1" applyNumberFormat="1" applyFont="1" applyFill="1" applyBorder="1" applyAlignment="1">
      <alignment horizontal="center"/>
    </xf>
    <xf numFmtId="43" fontId="13" fillId="4" borderId="0" xfId="1" applyFont="1" applyFill="1" applyBorder="1" applyAlignment="1">
      <alignment horizontal="center"/>
    </xf>
    <xf numFmtId="43" fontId="13" fillId="0" borderId="0" xfId="1" applyFont="1" applyFill="1" applyBorder="1" applyAlignment="1">
      <alignment horizontal="center"/>
    </xf>
    <xf numFmtId="9" fontId="71" fillId="0" borderId="8" xfId="2" applyFont="1" applyBorder="1" applyAlignment="1">
      <alignment horizontal="center"/>
    </xf>
    <xf numFmtId="165" fontId="13" fillId="0" borderId="0" xfId="2" applyNumberFormat="1" applyFont="1" applyFill="1" applyBorder="1" applyAlignment="1">
      <alignment horizontal="center" vertical="center"/>
    </xf>
    <xf numFmtId="164" fontId="13" fillId="11" borderId="1" xfId="1" applyNumberFormat="1" applyFont="1" applyFill="1" applyBorder="1"/>
    <xf numFmtId="165" fontId="3" fillId="0" borderId="0" xfId="2" quotePrefix="1" applyNumberFormat="1" applyFont="1"/>
    <xf numFmtId="164" fontId="13" fillId="0" borderId="0" xfId="1" quotePrefix="1" applyNumberFormat="1" applyFont="1" applyFill="1"/>
    <xf numFmtId="172" fontId="10" fillId="0" borderId="0" xfId="0" applyNumberFormat="1" applyFont="1" applyAlignment="1">
      <alignment wrapText="1"/>
    </xf>
    <xf numFmtId="0" fontId="10" fillId="0" borderId="6" xfId="0" applyFont="1" applyBorder="1" applyAlignment="1">
      <alignment horizontal="center"/>
    </xf>
    <xf numFmtId="164" fontId="10" fillId="0" borderId="6" xfId="0" applyNumberFormat="1" applyFont="1" applyBorder="1" applyAlignment="1">
      <alignment horizontal="center"/>
    </xf>
    <xf numFmtId="170" fontId="77" fillId="0" borderId="0" xfId="8" applyNumberFormat="1" applyFont="1" applyFill="1" applyBorder="1" applyAlignment="1">
      <alignment horizontal="center" vertical="center"/>
    </xf>
    <xf numFmtId="170" fontId="77" fillId="0" borderId="12" xfId="8" applyNumberFormat="1" applyFont="1" applyFill="1" applyBorder="1" applyAlignment="1">
      <alignment horizontal="center" vertical="center"/>
    </xf>
    <xf numFmtId="170" fontId="77" fillId="0" borderId="2" xfId="8" applyNumberFormat="1" applyFont="1" applyFill="1" applyBorder="1" applyAlignment="1">
      <alignment horizontal="center" vertical="center"/>
    </xf>
    <xf numFmtId="170" fontId="77" fillId="0" borderId="13" xfId="8" applyNumberFormat="1" applyFont="1" applyFill="1" applyBorder="1" applyAlignment="1">
      <alignment horizontal="center" vertical="center"/>
    </xf>
    <xf numFmtId="170" fontId="77" fillId="0" borderId="1" xfId="8" applyNumberFormat="1" applyFont="1" applyFill="1" applyBorder="1" applyAlignment="1">
      <alignment horizontal="center" vertical="center"/>
    </xf>
    <xf numFmtId="172" fontId="77" fillId="0" borderId="0" xfId="1" applyNumberFormat="1" applyFont="1" applyFill="1" applyBorder="1" applyAlignment="1">
      <alignment horizontal="center" vertical="center"/>
    </xf>
    <xf numFmtId="172" fontId="77" fillId="0" borderId="1" xfId="1" applyNumberFormat="1" applyFont="1" applyFill="1" applyBorder="1" applyAlignment="1">
      <alignment horizontal="center" vertical="center"/>
    </xf>
    <xf numFmtId="172" fontId="78" fillId="0" borderId="0" xfId="1" applyNumberFormat="1" applyFont="1" applyFill="1" applyBorder="1" applyAlignment="1">
      <alignment horizontal="center" vertical="center"/>
    </xf>
    <xf numFmtId="172" fontId="77" fillId="0" borderId="0" xfId="1" applyNumberFormat="1" applyFont="1" applyFill="1" applyBorder="1" applyAlignment="1">
      <alignment horizontal="center"/>
    </xf>
    <xf numFmtId="172" fontId="78" fillId="0" borderId="0" xfId="1" applyNumberFormat="1" applyFont="1" applyFill="1" applyBorder="1" applyAlignment="1">
      <alignment horizontal="center"/>
    </xf>
    <xf numFmtId="172" fontId="78" fillId="0" borderId="10" xfId="1" applyNumberFormat="1" applyFont="1" applyFill="1" applyBorder="1" applyAlignment="1">
      <alignment horizontal="center"/>
    </xf>
    <xf numFmtId="172" fontId="78" fillId="0" borderId="8" xfId="1" applyNumberFormat="1" applyFont="1" applyFill="1" applyBorder="1" applyAlignment="1">
      <alignment horizontal="center"/>
    </xf>
    <xf numFmtId="170" fontId="78" fillId="0" borderId="2" xfId="8" applyNumberFormat="1" applyFont="1" applyFill="1" applyBorder="1" applyAlignment="1">
      <alignment horizontal="center" vertical="center"/>
    </xf>
    <xf numFmtId="170" fontId="78" fillId="0" borderId="3" xfId="8" applyNumberFormat="1" applyFont="1" applyFill="1" applyBorder="1" applyAlignment="1">
      <alignment horizontal="center" vertical="center"/>
    </xf>
    <xf numFmtId="170" fontId="78" fillId="0" borderId="0" xfId="8" applyNumberFormat="1" applyFont="1" applyFill="1" applyBorder="1" applyAlignment="1">
      <alignment horizontal="center" vertical="center"/>
    </xf>
    <xf numFmtId="164" fontId="77" fillId="0" borderId="0" xfId="1" applyNumberFormat="1" applyFont="1" applyFill="1" applyBorder="1" applyAlignment="1">
      <alignment horizontal="center"/>
    </xf>
    <xf numFmtId="164" fontId="78" fillId="0" borderId="2" xfId="1" applyNumberFormat="1" applyFont="1" applyFill="1" applyBorder="1" applyAlignment="1">
      <alignment horizontal="center"/>
    </xf>
    <xf numFmtId="164" fontId="77" fillId="0" borderId="0" xfId="1" applyNumberFormat="1" applyFont="1" applyAlignment="1">
      <alignment horizontal="center"/>
    </xf>
    <xf numFmtId="164" fontId="77" fillId="0" borderId="0" xfId="1" applyNumberFormat="1" applyFont="1" applyBorder="1" applyAlignment="1">
      <alignment horizontal="center"/>
    </xf>
    <xf numFmtId="164" fontId="77" fillId="0" borderId="12" xfId="1" applyNumberFormat="1" applyFont="1" applyBorder="1" applyAlignment="1">
      <alignment horizontal="center"/>
    </xf>
    <xf numFmtId="164" fontId="77" fillId="0" borderId="2" xfId="1" applyNumberFormat="1" applyFont="1" applyBorder="1" applyAlignment="1">
      <alignment horizontal="center"/>
    </xf>
    <xf numFmtId="164" fontId="77" fillId="0" borderId="13" xfId="1" applyNumberFormat="1" applyFont="1" applyBorder="1" applyAlignment="1">
      <alignment horizontal="center"/>
    </xf>
    <xf numFmtId="164" fontId="77" fillId="0" borderId="1" xfId="1" applyNumberFormat="1" applyFont="1" applyBorder="1" applyAlignment="1">
      <alignment horizontal="center"/>
    </xf>
    <xf numFmtId="164" fontId="78" fillId="0" borderId="0" xfId="1" applyNumberFormat="1" applyFont="1" applyAlignment="1">
      <alignment horizontal="center"/>
    </xf>
    <xf numFmtId="164" fontId="78" fillId="0" borderId="11" xfId="1" applyNumberFormat="1" applyFont="1" applyBorder="1" applyAlignment="1">
      <alignment horizontal="center"/>
    </xf>
    <xf numFmtId="164" fontId="78" fillId="0" borderId="7" xfId="1" applyNumberFormat="1" applyFont="1" applyBorder="1" applyAlignment="1">
      <alignment horizontal="center"/>
    </xf>
    <xf numFmtId="0" fontId="77" fillId="0" borderId="0" xfId="0" applyFont="1" applyAlignment="1">
      <alignment horizontal="center"/>
    </xf>
    <xf numFmtId="165" fontId="77" fillId="0" borderId="0" xfId="2" applyNumberFormat="1" applyFont="1" applyAlignment="1">
      <alignment horizontal="center"/>
    </xf>
    <xf numFmtId="165" fontId="77" fillId="0" borderId="0" xfId="2" applyNumberFormat="1" applyFont="1" applyBorder="1" applyAlignment="1">
      <alignment horizontal="center"/>
    </xf>
    <xf numFmtId="197" fontId="3" fillId="0" borderId="0" xfId="0" applyNumberFormat="1" applyFont="1"/>
    <xf numFmtId="0" fontId="72" fillId="0" borderId="0" xfId="0" applyFont="1" applyAlignment="1">
      <alignment horizontal="center"/>
    </xf>
    <xf numFmtId="0" fontId="74" fillId="0" borderId="0" xfId="0" applyFont="1" applyAlignment="1">
      <alignment horizontal="center"/>
    </xf>
    <xf numFmtId="165" fontId="13" fillId="0" borderId="0" xfId="1" applyNumberFormat="1" applyFont="1" applyFill="1" applyBorder="1" applyAlignment="1">
      <alignment horizontal="center" vertical="center"/>
    </xf>
    <xf numFmtId="164" fontId="77" fillId="0" borderId="0" xfId="1" applyNumberFormat="1" applyFont="1"/>
    <xf numFmtId="164" fontId="77" fillId="0" borderId="0" xfId="1" applyNumberFormat="1" applyFont="1" applyBorder="1"/>
    <xf numFmtId="165" fontId="77" fillId="0" borderId="0" xfId="2" applyNumberFormat="1" applyFont="1"/>
    <xf numFmtId="165" fontId="77" fillId="0" borderId="0" xfId="2" applyNumberFormat="1" applyFont="1" applyBorder="1"/>
    <xf numFmtId="166" fontId="77" fillId="0" borderId="0" xfId="1" applyNumberFormat="1" applyFont="1"/>
    <xf numFmtId="166" fontId="77" fillId="0" borderId="0" xfId="1" applyNumberFormat="1" applyFont="1" applyBorder="1"/>
    <xf numFmtId="164" fontId="77" fillId="0" borderId="0" xfId="0" applyNumberFormat="1" applyFont="1"/>
    <xf numFmtId="164" fontId="77" fillId="0" borderId="10" xfId="1" applyNumberFormat="1" applyFont="1" applyBorder="1"/>
    <xf numFmtId="164" fontId="77" fillId="0" borderId="8" xfId="1" applyNumberFormat="1" applyFont="1" applyBorder="1"/>
    <xf numFmtId="164" fontId="77" fillId="0" borderId="0" xfId="1" applyNumberFormat="1" applyFont="1" applyFill="1" applyBorder="1"/>
    <xf numFmtId="164" fontId="77" fillId="0" borderId="1" xfId="1" applyNumberFormat="1" applyFont="1" applyBorder="1"/>
    <xf numFmtId="164" fontId="77" fillId="0" borderId="1" xfId="1" applyNumberFormat="1" applyFont="1" applyFill="1" applyBorder="1"/>
    <xf numFmtId="166" fontId="77" fillId="0" borderId="0" xfId="1" applyNumberFormat="1" applyFont="1" applyAlignment="1">
      <alignment horizontal="center"/>
    </xf>
    <xf numFmtId="166" fontId="77" fillId="0" borderId="0" xfId="1" applyNumberFormat="1" applyFont="1" applyBorder="1" applyAlignment="1">
      <alignment horizontal="center"/>
    </xf>
    <xf numFmtId="164" fontId="77" fillId="14" borderId="0" xfId="1" applyNumberFormat="1" applyFont="1" applyFill="1" applyBorder="1"/>
    <xf numFmtId="165" fontId="77" fillId="14" borderId="0" xfId="2" applyNumberFormat="1" applyFont="1" applyFill="1" applyBorder="1"/>
    <xf numFmtId="164" fontId="13" fillId="14" borderId="8" xfId="1" applyNumberFormat="1" applyFont="1" applyFill="1" applyBorder="1"/>
    <xf numFmtId="0" fontId="79" fillId="0" borderId="0" xfId="0" applyFont="1" applyAlignment="1">
      <alignment horizontal="left"/>
    </xf>
    <xf numFmtId="165" fontId="77" fillId="11" borderId="0" xfId="2" applyNumberFormat="1" applyFont="1" applyFill="1" applyAlignment="1">
      <alignment horizontal="center"/>
    </xf>
    <xf numFmtId="0" fontId="6" fillId="5" borderId="0" xfId="0" applyFont="1" applyFill="1" applyAlignment="1">
      <alignment horizontal="center"/>
    </xf>
    <xf numFmtId="0" fontId="81" fillId="0" borderId="0" xfId="0" applyFont="1" applyAlignment="1">
      <alignment horizontal="left"/>
    </xf>
    <xf numFmtId="0" fontId="81" fillId="0" borderId="0" xfId="0" applyFont="1" applyAlignment="1">
      <alignment horizontal="center"/>
    </xf>
    <xf numFmtId="0" fontId="80" fillId="0" borderId="0" xfId="0" applyFont="1" applyAlignment="1">
      <alignment horizontal="center"/>
    </xf>
    <xf numFmtId="0" fontId="0" fillId="0" borderId="0" xfId="0" applyAlignment="1">
      <alignment horizontal="center"/>
    </xf>
    <xf numFmtId="0" fontId="82" fillId="0" borderId="0" xfId="0" applyFont="1" applyAlignment="1">
      <alignment horizontal="left"/>
    </xf>
    <xf numFmtId="0" fontId="82" fillId="0" borderId="0" xfId="0" applyFont="1" applyAlignment="1">
      <alignment horizontal="center"/>
    </xf>
    <xf numFmtId="14" fontId="82" fillId="0" borderId="0" xfId="0" applyNumberFormat="1" applyFont="1" applyAlignment="1">
      <alignment horizontal="center"/>
    </xf>
    <xf numFmtId="0" fontId="83" fillId="0" borderId="0" xfId="0" applyFont="1" applyAlignment="1">
      <alignment horizontal="center"/>
    </xf>
    <xf numFmtId="14" fontId="0" fillId="0" borderId="0" xfId="0" applyNumberFormat="1" applyAlignment="1">
      <alignment horizontal="center"/>
    </xf>
    <xf numFmtId="0" fontId="6" fillId="5" borderId="0" xfId="0" applyFont="1" applyFill="1" applyAlignment="1">
      <alignment horizontal="left"/>
    </xf>
    <xf numFmtId="0" fontId="6" fillId="12" borderId="6" xfId="0" applyFont="1" applyFill="1" applyBorder="1" applyAlignment="1">
      <alignment horizontal="center"/>
    </xf>
    <xf numFmtId="0" fontId="6" fillId="15" borderId="6" xfId="0" applyFont="1" applyFill="1" applyBorder="1" applyAlignment="1">
      <alignment horizontal="center"/>
    </xf>
    <xf numFmtId="0" fontId="6" fillId="12" borderId="0" xfId="0" applyFont="1" applyFill="1" applyAlignment="1">
      <alignment horizontal="right"/>
    </xf>
    <xf numFmtId="3" fontId="6" fillId="5" borderId="0" xfId="2" applyNumberFormat="1" applyFont="1" applyFill="1" applyAlignment="1">
      <alignment horizontal="center"/>
    </xf>
    <xf numFmtId="9" fontId="6" fillId="5" borderId="0" xfId="2" applyFont="1" applyFill="1" applyAlignment="1">
      <alignment horizontal="center"/>
    </xf>
    <xf numFmtId="166" fontId="13" fillId="11" borderId="0" xfId="1" applyNumberFormat="1" applyFont="1" applyFill="1" applyBorder="1"/>
    <xf numFmtId="174" fontId="13" fillId="11" borderId="0" xfId="2" applyNumberFormat="1" applyFont="1" applyFill="1" applyBorder="1"/>
    <xf numFmtId="0" fontId="3" fillId="0" borderId="0" xfId="0" applyFont="1" applyAlignment="1">
      <alignment horizontal="right"/>
    </xf>
    <xf numFmtId="0" fontId="13" fillId="0" borderId="0" xfId="0" applyFont="1" applyAlignment="1">
      <alignment horizontal="right"/>
    </xf>
    <xf numFmtId="164" fontId="78" fillId="0" borderId="0" xfId="1" applyNumberFormat="1" applyFont="1" applyAlignment="1">
      <alignment horizontal="right"/>
    </xf>
    <xf numFmtId="164" fontId="78" fillId="0" borderId="11" xfId="1" applyNumberFormat="1" applyFont="1" applyBorder="1" applyAlignment="1">
      <alignment horizontal="right"/>
    </xf>
    <xf numFmtId="164" fontId="78" fillId="0" borderId="7" xfId="1" applyNumberFormat="1" applyFont="1" applyBorder="1" applyAlignment="1">
      <alignment horizontal="right"/>
    </xf>
    <xf numFmtId="165" fontId="13" fillId="0" borderId="0" xfId="2" applyNumberFormat="1" applyFont="1" applyAlignment="1">
      <alignment horizontal="right"/>
    </xf>
    <xf numFmtId="165" fontId="13" fillId="0" borderId="0" xfId="2" applyNumberFormat="1" applyFont="1" applyBorder="1" applyAlignment="1">
      <alignment horizontal="right"/>
    </xf>
    <xf numFmtId="165" fontId="13" fillId="11" borderId="0" xfId="2" applyNumberFormat="1" applyFont="1" applyFill="1" applyBorder="1" applyAlignment="1">
      <alignment horizontal="right"/>
    </xf>
    <xf numFmtId="164" fontId="13" fillId="0" borderId="0" xfId="1" applyNumberFormat="1" applyFont="1" applyAlignment="1">
      <alignment horizontal="right"/>
    </xf>
    <xf numFmtId="164" fontId="13" fillId="0" borderId="0" xfId="1" applyNumberFormat="1" applyFont="1" applyBorder="1" applyAlignment="1">
      <alignment horizontal="right"/>
    </xf>
    <xf numFmtId="165" fontId="77" fillId="0" borderId="0" xfId="2" applyNumberFormat="1" applyFont="1" applyAlignment="1">
      <alignment horizontal="right"/>
    </xf>
    <xf numFmtId="165" fontId="77" fillId="0" borderId="0" xfId="2" applyNumberFormat="1" applyFont="1" applyBorder="1" applyAlignment="1">
      <alignment horizontal="right"/>
    </xf>
    <xf numFmtId="0" fontId="78" fillId="0" borderId="0" xfId="0" applyFont="1" applyAlignment="1">
      <alignment horizontal="right"/>
    </xf>
    <xf numFmtId="43" fontId="77" fillId="0" borderId="0" xfId="1" applyFont="1" applyAlignment="1">
      <alignment horizontal="right"/>
    </xf>
    <xf numFmtId="43" fontId="77" fillId="0" borderId="0" xfId="1" applyFont="1" applyBorder="1" applyAlignment="1">
      <alignment horizontal="right"/>
    </xf>
    <xf numFmtId="0" fontId="6" fillId="0" borderId="0" xfId="0" applyFont="1" applyAlignment="1">
      <alignment horizontal="right"/>
    </xf>
    <xf numFmtId="164" fontId="77" fillId="0" borderId="0" xfId="1" applyNumberFormat="1" applyFont="1" applyBorder="1" applyAlignment="1">
      <alignment horizontal="right"/>
    </xf>
    <xf numFmtId="164" fontId="77" fillId="0" borderId="0" xfId="1" applyNumberFormat="1" applyFont="1" applyAlignment="1">
      <alignment horizontal="right"/>
    </xf>
    <xf numFmtId="164" fontId="71" fillId="0" borderId="0" xfId="0" applyNumberFormat="1" applyFont="1" applyAlignment="1">
      <alignment horizontal="right"/>
    </xf>
    <xf numFmtId="164" fontId="77" fillId="13" borderId="0" xfId="1" applyNumberFormat="1" applyFont="1" applyFill="1" applyBorder="1" applyAlignment="1">
      <alignment horizontal="right"/>
    </xf>
    <xf numFmtId="164" fontId="13" fillId="0" borderId="0" xfId="0" applyNumberFormat="1" applyFont="1" applyAlignment="1">
      <alignment horizontal="right"/>
    </xf>
    <xf numFmtId="164" fontId="77" fillId="11" borderId="0" xfId="1" applyNumberFormat="1" applyFont="1" applyFill="1" applyBorder="1" applyAlignment="1">
      <alignment horizontal="right"/>
    </xf>
    <xf numFmtId="43" fontId="77" fillId="11" borderId="0" xfId="1" applyFont="1" applyFill="1" applyBorder="1" applyAlignment="1">
      <alignment horizontal="right"/>
    </xf>
    <xf numFmtId="165" fontId="71" fillId="0" borderId="0" xfId="2" applyNumberFormat="1" applyFont="1" applyAlignment="1">
      <alignment horizontal="right"/>
    </xf>
    <xf numFmtId="164" fontId="71" fillId="0" borderId="0" xfId="1" applyNumberFormat="1" applyFont="1" applyAlignment="1">
      <alignment horizontal="right"/>
    </xf>
    <xf numFmtId="164" fontId="71" fillId="3" borderId="0" xfId="1" applyNumberFormat="1" applyFont="1" applyFill="1" applyAlignment="1">
      <alignment horizontal="right"/>
    </xf>
    <xf numFmtId="164" fontId="78" fillId="0" borderId="0" xfId="1" applyNumberFormat="1" applyFont="1" applyBorder="1" applyAlignment="1">
      <alignment horizontal="right"/>
    </xf>
    <xf numFmtId="164" fontId="13" fillId="3" borderId="0" xfId="1" applyNumberFormat="1" applyFont="1" applyFill="1" applyAlignment="1">
      <alignment horizontal="right"/>
    </xf>
    <xf numFmtId="167" fontId="13" fillId="0" borderId="0" xfId="1" applyNumberFormat="1" applyFont="1" applyAlignment="1">
      <alignment horizontal="right"/>
    </xf>
    <xf numFmtId="165" fontId="10" fillId="0" borderId="0" xfId="2" applyNumberFormat="1" applyFont="1" applyAlignment="1">
      <alignment horizontal="right"/>
    </xf>
    <xf numFmtId="165" fontId="10" fillId="0" borderId="0" xfId="2" applyNumberFormat="1" applyFont="1" applyBorder="1" applyAlignment="1">
      <alignment horizontal="right"/>
    </xf>
    <xf numFmtId="165" fontId="71" fillId="0" borderId="0" xfId="2" applyNumberFormat="1" applyFont="1" applyBorder="1" applyAlignment="1">
      <alignment horizontal="right"/>
    </xf>
    <xf numFmtId="165" fontId="3" fillId="0" borderId="0" xfId="2" applyNumberFormat="1" applyFont="1" applyAlignment="1">
      <alignment horizontal="right"/>
    </xf>
    <xf numFmtId="165" fontId="3" fillId="0" borderId="0" xfId="2" applyNumberFormat="1" applyFont="1" applyBorder="1" applyAlignment="1">
      <alignment horizontal="right"/>
    </xf>
    <xf numFmtId="165" fontId="13" fillId="13" borderId="0" xfId="2" applyNumberFormat="1" applyFont="1" applyFill="1" applyBorder="1" applyAlignment="1">
      <alignment horizontal="right"/>
    </xf>
    <xf numFmtId="165" fontId="13" fillId="0" borderId="0" xfId="2" applyNumberFormat="1" applyFont="1" applyFill="1" applyBorder="1" applyAlignment="1">
      <alignment horizontal="right"/>
    </xf>
    <xf numFmtId="165" fontId="3" fillId="0" borderId="1" xfId="2" applyNumberFormat="1" applyFont="1" applyBorder="1" applyAlignment="1">
      <alignment horizontal="right"/>
    </xf>
    <xf numFmtId="165" fontId="13" fillId="0" borderId="1" xfId="2" applyNumberFormat="1" applyFont="1" applyBorder="1" applyAlignment="1">
      <alignment horizontal="right"/>
    </xf>
    <xf numFmtId="164" fontId="3" fillId="0" borderId="2" xfId="1" applyNumberFormat="1" applyFont="1" applyBorder="1" applyAlignment="1">
      <alignment horizontal="right"/>
    </xf>
    <xf numFmtId="43" fontId="13" fillId="11" borderId="0" xfId="1" applyFont="1" applyFill="1" applyBorder="1" applyAlignment="1">
      <alignment horizontal="right"/>
    </xf>
    <xf numFmtId="164" fontId="3" fillId="0" borderId="0" xfId="1" applyNumberFormat="1" applyFont="1" applyBorder="1" applyAlignment="1">
      <alignment horizontal="right"/>
    </xf>
    <xf numFmtId="164" fontId="3" fillId="0" borderId="1" xfId="1" applyNumberFormat="1" applyFont="1" applyBorder="1" applyAlignment="1">
      <alignment horizontal="right"/>
    </xf>
    <xf numFmtId="43" fontId="13" fillId="11" borderId="1" xfId="1" applyFont="1" applyFill="1" applyBorder="1" applyAlignment="1">
      <alignment horizontal="right"/>
    </xf>
    <xf numFmtId="164" fontId="3" fillId="0" borderId="0" xfId="1" applyNumberFormat="1" applyFont="1" applyAlignment="1">
      <alignment horizontal="right"/>
    </xf>
    <xf numFmtId="165" fontId="10" fillId="0" borderId="11" xfId="2" applyNumberFormat="1" applyFont="1" applyBorder="1" applyAlignment="1">
      <alignment horizontal="right"/>
    </xf>
    <xf numFmtId="165" fontId="10" fillId="0" borderId="7" xfId="2" applyNumberFormat="1" applyFont="1" applyBorder="1" applyAlignment="1">
      <alignment horizontal="right"/>
    </xf>
    <xf numFmtId="165" fontId="71" fillId="0" borderId="7" xfId="2" applyNumberFormat="1" applyFont="1" applyBorder="1" applyAlignment="1">
      <alignment horizontal="right"/>
    </xf>
    <xf numFmtId="164" fontId="10" fillId="0" borderId="0" xfId="1" applyNumberFormat="1" applyFont="1" applyAlignment="1">
      <alignment horizontal="right"/>
    </xf>
    <xf numFmtId="164" fontId="10" fillId="0" borderId="11" xfId="1" applyNumberFormat="1" applyFont="1" applyBorder="1" applyAlignment="1">
      <alignment horizontal="right"/>
    </xf>
    <xf numFmtId="164" fontId="10" fillId="0" borderId="7" xfId="1" applyNumberFormat="1" applyFont="1" applyBorder="1" applyAlignment="1">
      <alignment horizontal="right"/>
    </xf>
    <xf numFmtId="164" fontId="71" fillId="0" borderId="7" xfId="1" applyNumberFormat="1" applyFont="1" applyBorder="1" applyAlignment="1">
      <alignment horizontal="right"/>
    </xf>
    <xf numFmtId="165" fontId="3" fillId="0" borderId="10" xfId="2" applyNumberFormat="1" applyFont="1" applyBorder="1" applyAlignment="1">
      <alignment horizontal="right"/>
    </xf>
    <xf numFmtId="165" fontId="3" fillId="0" borderId="8" xfId="2" applyNumberFormat="1" applyFont="1" applyBorder="1" applyAlignment="1">
      <alignment horizontal="right"/>
    </xf>
    <xf numFmtId="165" fontId="13" fillId="0" borderId="8" xfId="2" applyNumberFormat="1" applyFont="1" applyBorder="1" applyAlignment="1">
      <alignment horizontal="right"/>
    </xf>
    <xf numFmtId="165" fontId="3" fillId="3" borderId="0" xfId="2" applyNumberFormat="1" applyFont="1" applyFill="1" applyAlignment="1">
      <alignment horizontal="right"/>
    </xf>
    <xf numFmtId="165" fontId="5" fillId="0" borderId="0" xfId="2" applyNumberFormat="1" applyFont="1" applyAlignment="1">
      <alignment horizontal="right"/>
    </xf>
    <xf numFmtId="165" fontId="5" fillId="0" borderId="0" xfId="2" applyNumberFormat="1" applyFont="1" applyBorder="1" applyAlignment="1">
      <alignment horizontal="right"/>
    </xf>
    <xf numFmtId="165" fontId="70" fillId="0" borderId="0" xfId="2" applyNumberFormat="1" applyFont="1" applyBorder="1" applyAlignment="1">
      <alignment horizontal="right"/>
    </xf>
    <xf numFmtId="166" fontId="3" fillId="0" borderId="0" xfId="1" applyNumberFormat="1" applyFont="1" applyAlignment="1">
      <alignment horizontal="right"/>
    </xf>
    <xf numFmtId="166" fontId="3" fillId="0" borderId="0" xfId="1" applyNumberFormat="1" applyFont="1" applyBorder="1" applyAlignment="1">
      <alignment horizontal="right"/>
    </xf>
    <xf numFmtId="166" fontId="13" fillId="0" borderId="0" xfId="1" applyNumberFormat="1" applyFont="1" applyBorder="1" applyAlignment="1">
      <alignment horizontal="right"/>
    </xf>
    <xf numFmtId="43" fontId="3" fillId="0" borderId="0" xfId="0" applyNumberFormat="1" applyFont="1" applyAlignment="1">
      <alignment horizontal="right"/>
    </xf>
    <xf numFmtId="43" fontId="3" fillId="0" borderId="0" xfId="1" applyFont="1" applyBorder="1" applyAlignment="1">
      <alignment horizontal="right"/>
    </xf>
    <xf numFmtId="43" fontId="13" fillId="0" borderId="0" xfId="1" applyFont="1" applyBorder="1" applyAlignment="1">
      <alignment horizontal="right"/>
    </xf>
    <xf numFmtId="164" fontId="3" fillId="0" borderId="10" xfId="1" applyNumberFormat="1" applyFont="1" applyBorder="1" applyAlignment="1">
      <alignment horizontal="right"/>
    </xf>
    <xf numFmtId="164" fontId="3" fillId="0" borderId="8" xfId="1" applyNumberFormat="1" applyFont="1" applyBorder="1" applyAlignment="1">
      <alignment horizontal="right"/>
    </xf>
    <xf numFmtId="164" fontId="13" fillId="0" borderId="8" xfId="1" applyNumberFormat="1" applyFont="1" applyBorder="1" applyAlignment="1">
      <alignment horizontal="right"/>
    </xf>
    <xf numFmtId="164" fontId="3" fillId="0" borderId="0" xfId="0" applyNumberFormat="1" applyFont="1" applyAlignment="1">
      <alignment horizontal="right"/>
    </xf>
    <xf numFmtId="1" fontId="3" fillId="0" borderId="0" xfId="0" applyNumberFormat="1" applyFont="1" applyAlignment="1">
      <alignment horizontal="right"/>
    </xf>
    <xf numFmtId="9" fontId="13" fillId="0" borderId="0" xfId="0" applyNumberFormat="1" applyFont="1" applyAlignment="1">
      <alignment horizontal="right"/>
    </xf>
    <xf numFmtId="0" fontId="10" fillId="0" borderId="0" xfId="0" applyFont="1" applyAlignment="1">
      <alignment horizontal="right"/>
    </xf>
    <xf numFmtId="0" fontId="71" fillId="0" borderId="0" xfId="0" applyFont="1" applyAlignment="1">
      <alignment horizontal="right"/>
    </xf>
    <xf numFmtId="165" fontId="13" fillId="3" borderId="0" xfId="2" applyNumberFormat="1" applyFont="1" applyFill="1" applyAlignment="1">
      <alignment horizontal="right"/>
    </xf>
    <xf numFmtId="164" fontId="13" fillId="0" borderId="0" xfId="1" applyNumberFormat="1" applyFont="1" applyFill="1" applyAlignment="1">
      <alignment horizontal="right"/>
    </xf>
    <xf numFmtId="164" fontId="77" fillId="14" borderId="0" xfId="1" applyNumberFormat="1" applyFont="1" applyFill="1" applyBorder="1" applyAlignment="1">
      <alignment horizontal="right"/>
    </xf>
    <xf numFmtId="165" fontId="77" fillId="14" borderId="0" xfId="2" applyNumberFormat="1" applyFont="1" applyFill="1" applyBorder="1" applyAlignment="1">
      <alignment horizontal="right"/>
    </xf>
    <xf numFmtId="164" fontId="13" fillId="11" borderId="0" xfId="1" applyNumberFormat="1" applyFont="1" applyFill="1" applyBorder="1" applyAlignment="1">
      <alignment horizontal="right"/>
    </xf>
    <xf numFmtId="165" fontId="3" fillId="3" borderId="10" xfId="2" applyNumberFormat="1" applyFont="1" applyFill="1" applyBorder="1" applyAlignment="1">
      <alignment horizontal="right"/>
    </xf>
    <xf numFmtId="165" fontId="3" fillId="3" borderId="8" xfId="2" applyNumberFormat="1" applyFont="1" applyFill="1" applyBorder="1" applyAlignment="1">
      <alignment horizontal="right"/>
    </xf>
    <xf numFmtId="165" fontId="3" fillId="0" borderId="0" xfId="2" applyNumberFormat="1" applyFont="1" applyFill="1" applyAlignment="1">
      <alignment horizontal="right"/>
    </xf>
    <xf numFmtId="165" fontId="3" fillId="0" borderId="0" xfId="2" applyNumberFormat="1" applyFont="1" applyFill="1" applyBorder="1" applyAlignment="1">
      <alignment horizontal="right"/>
    </xf>
    <xf numFmtId="165" fontId="3" fillId="3" borderId="0" xfId="2" applyNumberFormat="1" applyFont="1" applyFill="1" applyBorder="1" applyAlignment="1">
      <alignment horizontal="right"/>
    </xf>
    <xf numFmtId="17" fontId="71" fillId="0" borderId="0" xfId="4" quotePrefix="1" applyNumberFormat="1" applyFont="1" applyAlignment="1">
      <alignment horizontal="right" vertical="center"/>
    </xf>
    <xf numFmtId="170" fontId="13" fillId="0" borderId="0" xfId="10" applyNumberFormat="1" applyFont="1" applyAlignment="1">
      <alignment horizontal="right"/>
    </xf>
    <xf numFmtId="170" fontId="78" fillId="0" borderId="0" xfId="8" applyNumberFormat="1" applyFont="1" applyFill="1" applyBorder="1" applyAlignment="1">
      <alignment horizontal="right" vertical="center"/>
    </xf>
    <xf numFmtId="170" fontId="77" fillId="0" borderId="0" xfId="8" applyNumberFormat="1" applyFont="1" applyFill="1" applyBorder="1" applyAlignment="1">
      <alignment horizontal="right" vertical="center"/>
    </xf>
    <xf numFmtId="170" fontId="77" fillId="0" borderId="1" xfId="8" applyNumberFormat="1" applyFont="1" applyFill="1" applyBorder="1" applyAlignment="1">
      <alignment horizontal="right" vertical="center"/>
    </xf>
    <xf numFmtId="170" fontId="77" fillId="0" borderId="0" xfId="8" quotePrefix="1" applyNumberFormat="1" applyFont="1" applyFill="1" applyBorder="1" applyAlignment="1">
      <alignment horizontal="right" vertical="center"/>
    </xf>
    <xf numFmtId="170" fontId="13" fillId="0" borderId="0" xfId="8" applyNumberFormat="1" applyFont="1" applyFill="1" applyBorder="1" applyAlignment="1">
      <alignment horizontal="right" vertical="center"/>
    </xf>
    <xf numFmtId="164" fontId="77" fillId="0" borderId="0" xfId="1" applyNumberFormat="1" applyFont="1" applyFill="1" applyBorder="1" applyAlignment="1">
      <alignment horizontal="right" vertical="center"/>
    </xf>
    <xf numFmtId="164" fontId="13" fillId="0" borderId="0" xfId="1" applyNumberFormat="1" applyFont="1" applyFill="1" applyBorder="1" applyAlignment="1">
      <alignment horizontal="right" vertical="center"/>
    </xf>
    <xf numFmtId="164" fontId="77" fillId="0" borderId="0" xfId="1" applyNumberFormat="1" applyFont="1" applyFill="1" applyBorder="1" applyAlignment="1">
      <alignment horizontal="right"/>
    </xf>
    <xf numFmtId="164" fontId="77" fillId="0" borderId="1" xfId="1" applyNumberFormat="1" applyFont="1" applyFill="1" applyBorder="1" applyAlignment="1">
      <alignment horizontal="right"/>
    </xf>
    <xf numFmtId="164" fontId="78" fillId="0" borderId="0" xfId="1" applyNumberFormat="1" applyFont="1" applyFill="1" applyBorder="1" applyAlignment="1">
      <alignment horizontal="right"/>
    </xf>
    <xf numFmtId="164" fontId="71" fillId="0" borderId="0" xfId="1" applyNumberFormat="1" applyFont="1" applyFill="1" applyBorder="1" applyAlignment="1">
      <alignment horizontal="right"/>
    </xf>
    <xf numFmtId="164" fontId="3" fillId="0" borderId="0" xfId="1" applyNumberFormat="1" applyFont="1" applyFill="1" applyBorder="1" applyAlignment="1">
      <alignment horizontal="right"/>
    </xf>
    <xf numFmtId="170" fontId="3" fillId="0" borderId="0" xfId="0" applyNumberFormat="1" applyFont="1" applyAlignment="1">
      <alignment horizontal="right"/>
    </xf>
    <xf numFmtId="170" fontId="13" fillId="0" borderId="0" xfId="0" applyNumberFormat="1" applyFont="1" applyAlignment="1">
      <alignment horizontal="right"/>
    </xf>
    <xf numFmtId="0" fontId="10" fillId="0" borderId="2" xfId="0" applyFont="1" applyBorder="1" applyAlignment="1">
      <alignment horizontal="right"/>
    </xf>
    <xf numFmtId="170" fontId="10" fillId="0" borderId="2" xfId="0" applyNumberFormat="1" applyFont="1" applyBorder="1" applyAlignment="1">
      <alignment horizontal="right"/>
    </xf>
    <xf numFmtId="170" fontId="71" fillId="0" borderId="2" xfId="0" applyNumberFormat="1" applyFont="1" applyBorder="1" applyAlignment="1">
      <alignment horizontal="right"/>
    </xf>
    <xf numFmtId="173" fontId="3" fillId="0" borderId="0" xfId="1" applyNumberFormat="1" applyFont="1" applyFill="1" applyBorder="1" applyAlignment="1">
      <alignment horizontal="right"/>
    </xf>
    <xf numFmtId="173" fontId="13" fillId="0" borderId="0" xfId="1" applyNumberFormat="1" applyFont="1" applyFill="1" applyBorder="1" applyAlignment="1">
      <alignment horizontal="right"/>
    </xf>
    <xf numFmtId="173" fontId="3" fillId="0" borderId="0" xfId="0" applyNumberFormat="1" applyFont="1" applyAlignment="1">
      <alignment horizontal="right"/>
    </xf>
    <xf numFmtId="173" fontId="13" fillId="0" borderId="0" xfId="0" applyNumberFormat="1" applyFont="1" applyAlignment="1">
      <alignment horizontal="right"/>
    </xf>
    <xf numFmtId="165" fontId="3" fillId="4" borderId="0" xfId="2" applyNumberFormat="1" applyFont="1" applyFill="1" applyBorder="1" applyAlignment="1">
      <alignment horizontal="right"/>
    </xf>
    <xf numFmtId="165" fontId="13" fillId="4" borderId="0" xfId="2" applyNumberFormat="1" applyFont="1" applyFill="1" applyBorder="1" applyAlignment="1">
      <alignment horizontal="right"/>
    </xf>
    <xf numFmtId="170" fontId="3" fillId="0" borderId="0" xfId="2" applyNumberFormat="1" applyFont="1" applyFill="1" applyBorder="1" applyAlignment="1">
      <alignment horizontal="right"/>
    </xf>
    <xf numFmtId="170" fontId="3" fillId="0" borderId="0" xfId="1" applyNumberFormat="1" applyFont="1" applyFill="1" applyBorder="1" applyAlignment="1">
      <alignment horizontal="right"/>
    </xf>
    <xf numFmtId="170" fontId="13" fillId="0" borderId="0" xfId="1" applyNumberFormat="1" applyFont="1" applyFill="1" applyBorder="1" applyAlignment="1">
      <alignment horizontal="right"/>
    </xf>
    <xf numFmtId="172" fontId="13" fillId="0" borderId="0" xfId="1" applyNumberFormat="1" applyFont="1" applyFill="1" applyBorder="1" applyAlignment="1">
      <alignment horizontal="right" vertical="center"/>
    </xf>
    <xf numFmtId="9" fontId="3" fillId="0" borderId="0" xfId="1" applyNumberFormat="1" applyFont="1" applyFill="1" applyBorder="1" applyAlignment="1">
      <alignment horizontal="center"/>
    </xf>
    <xf numFmtId="0" fontId="15" fillId="11" borderId="0" xfId="0" applyFont="1" applyFill="1"/>
    <xf numFmtId="0" fontId="84" fillId="11" borderId="0" xfId="0" applyFont="1" applyFill="1"/>
    <xf numFmtId="0" fontId="85" fillId="11" borderId="0" xfId="0" applyFont="1" applyFill="1"/>
    <xf numFmtId="0" fontId="86" fillId="5" borderId="0" xfId="0" applyFont="1" applyFill="1"/>
    <xf numFmtId="0" fontId="87" fillId="5" borderId="0" xfId="14" applyFont="1" applyFill="1"/>
    <xf numFmtId="0" fontId="88" fillId="5" borderId="0" xfId="0" applyFont="1" applyFill="1"/>
    <xf numFmtId="0" fontId="89" fillId="5" borderId="0" xfId="0" applyFont="1" applyFill="1"/>
    <xf numFmtId="0" fontId="86" fillId="5" borderId="0" xfId="0" quotePrefix="1" applyFont="1" applyFill="1"/>
    <xf numFmtId="0" fontId="90" fillId="5" borderId="0" xfId="0" applyFont="1" applyFill="1"/>
    <xf numFmtId="0" fontId="91" fillId="5" borderId="0" xfId="0" applyFont="1" applyFill="1" applyAlignment="1">
      <alignment horizontal="left" vertical="top" wrapText="1"/>
    </xf>
    <xf numFmtId="0" fontId="92" fillId="5" borderId="0" xfId="14" applyFont="1" applyFill="1" applyAlignment="1">
      <alignment horizontal="left" vertical="top"/>
    </xf>
    <xf numFmtId="0" fontId="86" fillId="5" borderId="0" xfId="0" applyFont="1" applyFill="1" applyAlignment="1">
      <alignment horizontal="left" vertical="top" wrapText="1"/>
    </xf>
    <xf numFmtId="0" fontId="92" fillId="5" borderId="0" xfId="14" applyFont="1" applyFill="1"/>
    <xf numFmtId="0" fontId="86" fillId="5" borderId="0" xfId="0" applyFont="1" applyFill="1" applyAlignment="1">
      <alignment horizontal="center"/>
    </xf>
    <xf numFmtId="165" fontId="86" fillId="5" borderId="0" xfId="0" applyNumberFormat="1" applyFont="1" applyFill="1" applyAlignment="1">
      <alignment horizontal="center"/>
    </xf>
    <xf numFmtId="164" fontId="13" fillId="0" borderId="1" xfId="1" applyNumberFormat="1" applyFont="1" applyFill="1" applyBorder="1" applyAlignment="1">
      <alignment horizontal="right"/>
    </xf>
    <xf numFmtId="4" fontId="93" fillId="0" borderId="0" xfId="0" applyNumberFormat="1" applyFont="1"/>
    <xf numFmtId="165" fontId="16" fillId="0" borderId="0" xfId="2" applyNumberFormat="1" applyFont="1" applyFill="1" applyBorder="1" applyAlignment="1">
      <alignment horizontal="center" vertical="center"/>
    </xf>
    <xf numFmtId="164" fontId="16" fillId="0" borderId="0" xfId="0" applyNumberFormat="1" applyFont="1"/>
    <xf numFmtId="0" fontId="4" fillId="0" borderId="0" xfId="0" applyFont="1" applyAlignment="1">
      <alignment horizontal="right"/>
    </xf>
    <xf numFmtId="165" fontId="13" fillId="16" borderId="0" xfId="2" applyNumberFormat="1" applyFont="1" applyFill="1" applyBorder="1" applyAlignment="1">
      <alignment horizontal="right"/>
    </xf>
    <xf numFmtId="0" fontId="72" fillId="17" borderId="0" xfId="0" applyFont="1" applyFill="1"/>
    <xf numFmtId="164" fontId="72" fillId="17" borderId="0" xfId="0" applyNumberFormat="1" applyFont="1" applyFill="1" applyAlignment="1">
      <alignment horizontal="right"/>
    </xf>
    <xf numFmtId="164" fontId="72" fillId="17" borderId="0" xfId="0" applyNumberFormat="1" applyFont="1" applyFill="1"/>
    <xf numFmtId="164" fontId="72" fillId="17" borderId="0" xfId="0" applyNumberFormat="1" applyFont="1" applyFill="1" applyAlignment="1">
      <alignment horizontal="center"/>
    </xf>
    <xf numFmtId="0" fontId="72" fillId="17" borderId="0" xfId="0" applyFont="1" applyFill="1" applyAlignment="1">
      <alignment horizontal="center"/>
    </xf>
    <xf numFmtId="0" fontId="2" fillId="17" borderId="0" xfId="0" applyFont="1" applyFill="1"/>
    <xf numFmtId="0" fontId="79" fillId="0" borderId="0" xfId="0" applyFont="1"/>
    <xf numFmtId="165" fontId="13" fillId="18" borderId="0" xfId="2" applyNumberFormat="1" applyFont="1" applyFill="1" applyBorder="1" applyAlignment="1">
      <alignment horizontal="right"/>
    </xf>
    <xf numFmtId="164" fontId="77" fillId="5" borderId="0" xfId="1" applyNumberFormat="1" applyFont="1" applyFill="1" applyBorder="1"/>
    <xf numFmtId="166" fontId="77" fillId="5" borderId="0" xfId="1" applyNumberFormat="1" applyFont="1" applyFill="1" applyBorder="1"/>
    <xf numFmtId="165" fontId="77" fillId="5" borderId="0" xfId="2" applyNumberFormat="1" applyFont="1" applyFill="1" applyBorder="1"/>
    <xf numFmtId="172" fontId="13" fillId="0" borderId="0" xfId="0" applyNumberFormat="1" applyFont="1" applyAlignment="1">
      <alignment horizontal="right"/>
    </xf>
    <xf numFmtId="181" fontId="3" fillId="0" borderId="0" xfId="2" applyNumberFormat="1" applyFont="1"/>
    <xf numFmtId="0" fontId="3" fillId="5" borderId="0" xfId="0" applyFont="1" applyFill="1"/>
    <xf numFmtId="170" fontId="71" fillId="5" borderId="0" xfId="7" applyNumberFormat="1" applyFont="1" applyFill="1"/>
    <xf numFmtId="170" fontId="16" fillId="0" borderId="0" xfId="0" applyNumberFormat="1" applyFont="1"/>
    <xf numFmtId="170" fontId="15" fillId="0" borderId="0" xfId="0" applyNumberFormat="1" applyFont="1"/>
    <xf numFmtId="168" fontId="13" fillId="12" borderId="0" xfId="12" applyFont="1" applyFill="1" applyAlignment="1">
      <alignment horizontal="left"/>
    </xf>
    <xf numFmtId="165" fontId="17" fillId="0" borderId="0" xfId="2" applyNumberFormat="1" applyFont="1" applyFill="1" applyBorder="1"/>
    <xf numFmtId="165" fontId="15" fillId="0" borderId="0" xfId="2" applyNumberFormat="1" applyFont="1" applyFill="1" applyBorder="1"/>
    <xf numFmtId="0" fontId="6" fillId="5" borderId="0" xfId="0" applyFont="1" applyFill="1" applyAlignment="1">
      <alignment horizontal="left" indent="1"/>
    </xf>
    <xf numFmtId="0" fontId="17" fillId="5" borderId="0" xfId="0" applyFont="1" applyFill="1"/>
    <xf numFmtId="0" fontId="17" fillId="11" borderId="0" xfId="0" applyFont="1" applyFill="1"/>
    <xf numFmtId="0" fontId="94" fillId="5" borderId="0" xfId="0" applyFont="1" applyFill="1" applyAlignment="1">
      <alignment horizontal="left" indent="1"/>
    </xf>
    <xf numFmtId="0" fontId="94" fillId="5" borderId="0" xfId="0" applyFont="1" applyFill="1"/>
    <xf numFmtId="0" fontId="95" fillId="5" borderId="0" xfId="0" applyFont="1" applyFill="1" applyAlignment="1">
      <alignment horizontal="left" indent="1"/>
    </xf>
    <xf numFmtId="0" fontId="95" fillId="5" borderId="0" xfId="0" applyFont="1" applyFill="1"/>
    <xf numFmtId="165" fontId="17" fillId="5" borderId="0" xfId="2" applyNumberFormat="1" applyFont="1" applyFill="1" applyBorder="1"/>
    <xf numFmtId="165" fontId="15" fillId="5" borderId="0" xfId="2" applyNumberFormat="1" applyFont="1" applyFill="1" applyBorder="1"/>
    <xf numFmtId="170" fontId="15" fillId="5" borderId="0" xfId="0" applyNumberFormat="1" applyFont="1" applyFill="1"/>
    <xf numFmtId="0" fontId="17" fillId="12" borderId="2" xfId="0" applyFont="1" applyFill="1" applyBorder="1"/>
    <xf numFmtId="165" fontId="17" fillId="0" borderId="2" xfId="2" applyNumberFormat="1" applyFont="1" applyFill="1" applyBorder="1"/>
    <xf numFmtId="165" fontId="15" fillId="0" borderId="2" xfId="2" applyNumberFormat="1" applyFont="1" applyFill="1" applyBorder="1"/>
    <xf numFmtId="170" fontId="15" fillId="0" borderId="2" xfId="0" applyNumberFormat="1" applyFont="1" applyBorder="1"/>
    <xf numFmtId="0" fontId="6" fillId="12" borderId="2" xfId="0" applyFont="1" applyFill="1" applyBorder="1"/>
    <xf numFmtId="0" fontId="6" fillId="0" borderId="2" xfId="0" applyFont="1" applyBorder="1"/>
    <xf numFmtId="0" fontId="16" fillId="0" borderId="2" xfId="0" applyFont="1" applyBorder="1"/>
    <xf numFmtId="0" fontId="6" fillId="11" borderId="0" xfId="0" applyFont="1" applyFill="1"/>
    <xf numFmtId="0" fontId="96" fillId="0" borderId="0" xfId="0" applyFont="1"/>
    <xf numFmtId="17" fontId="6" fillId="0" borderId="0" xfId="0" applyNumberFormat="1" applyFont="1"/>
    <xf numFmtId="10" fontId="6" fillId="0" borderId="0" xfId="0" applyNumberFormat="1" applyFont="1"/>
    <xf numFmtId="0" fontId="13" fillId="12" borderId="0" xfId="13" applyFont="1" applyFill="1" applyAlignment="1">
      <alignment horizontal="left" vertical="center"/>
    </xf>
    <xf numFmtId="0" fontId="13" fillId="12" borderId="0" xfId="13" applyFont="1" applyFill="1" applyAlignment="1">
      <alignment horizontal="left" vertical="center" wrapText="1"/>
    </xf>
    <xf numFmtId="0" fontId="6" fillId="5" borderId="2" xfId="0" applyFont="1" applyFill="1" applyBorder="1"/>
    <xf numFmtId="165" fontId="6" fillId="0" borderId="2" xfId="2" applyNumberFormat="1" applyFont="1" applyFill="1" applyBorder="1"/>
    <xf numFmtId="165" fontId="16" fillId="0" borderId="2" xfId="2" applyNumberFormat="1" applyFont="1" applyFill="1" applyBorder="1"/>
    <xf numFmtId="0" fontId="13" fillId="0" borderId="0" xfId="0" quotePrefix="1" applyFont="1"/>
    <xf numFmtId="0" fontId="100" fillId="19" borderId="0" xfId="0" applyFont="1" applyFill="1"/>
    <xf numFmtId="0" fontId="99" fillId="19" borderId="0" xfId="0" applyFont="1" applyFill="1"/>
    <xf numFmtId="198" fontId="99" fillId="19" borderId="0" xfId="0" applyNumberFormat="1" applyFont="1" applyFill="1" applyAlignment="1">
      <alignment horizontal="right"/>
    </xf>
    <xf numFmtId="17" fontId="99" fillId="19" borderId="0" xfId="0" applyNumberFormat="1" applyFont="1" applyFill="1" applyAlignment="1">
      <alignment horizontal="right"/>
    </xf>
    <xf numFmtId="0" fontId="101" fillId="20" borderId="0" xfId="0" applyFont="1" applyFill="1"/>
    <xf numFmtId="0" fontId="102" fillId="21" borderId="0" xfId="0" applyFont="1" applyFill="1"/>
    <xf numFmtId="0" fontId="103" fillId="22" borderId="0" xfId="0" applyFont="1" applyFill="1"/>
    <xf numFmtId="0" fontId="10" fillId="23" borderId="0" xfId="0" applyFont="1" applyFill="1"/>
    <xf numFmtId="0" fontId="10" fillId="23" borderId="0" xfId="0" applyFont="1" applyFill="1" applyAlignment="1">
      <alignment horizontal="center"/>
    </xf>
    <xf numFmtId="0" fontId="72" fillId="24" borderId="0" xfId="0" applyFont="1" applyFill="1"/>
    <xf numFmtId="0" fontId="72" fillId="24" borderId="0" xfId="0" applyFont="1" applyFill="1" applyAlignment="1">
      <alignment horizontal="center"/>
    </xf>
    <xf numFmtId="0" fontId="71" fillId="23" borderId="0" xfId="0" applyFont="1" applyFill="1" applyAlignment="1">
      <alignment horizontal="center"/>
    </xf>
    <xf numFmtId="0" fontId="74" fillId="24" borderId="0" xfId="0" applyFont="1" applyFill="1"/>
    <xf numFmtId="0" fontId="74" fillId="24" borderId="0" xfId="0" applyFont="1" applyFill="1" applyAlignment="1">
      <alignment horizontal="center"/>
    </xf>
    <xf numFmtId="0" fontId="13" fillId="24" borderId="0" xfId="0" applyFont="1" applyFill="1" applyAlignment="1">
      <alignment horizontal="center"/>
    </xf>
    <xf numFmtId="0" fontId="71" fillId="23" borderId="0" xfId="0" applyFont="1" applyFill="1" applyAlignment="1">
      <alignment horizontal="right"/>
    </xf>
    <xf numFmtId="17" fontId="71" fillId="23" borderId="0" xfId="4" quotePrefix="1" applyNumberFormat="1" applyFont="1" applyFill="1" applyAlignment="1">
      <alignment horizontal="center" vertical="center"/>
    </xf>
    <xf numFmtId="0" fontId="10" fillId="23" borderId="0" xfId="0" applyFont="1" applyFill="1" applyAlignment="1">
      <alignment horizontal="right"/>
    </xf>
    <xf numFmtId="0" fontId="17" fillId="23" borderId="0" xfId="0" applyFont="1" applyFill="1"/>
    <xf numFmtId="0" fontId="71" fillId="23" borderId="0" xfId="0" applyFont="1" applyFill="1"/>
    <xf numFmtId="164" fontId="71" fillId="23" borderId="0" xfId="0" applyNumberFormat="1" applyFont="1" applyFill="1" applyAlignment="1">
      <alignment horizontal="center"/>
    </xf>
    <xf numFmtId="164" fontId="72" fillId="24" borderId="0" xfId="0" applyNumberFormat="1" applyFont="1" applyFill="1" applyAlignment="1">
      <alignment horizontal="center"/>
    </xf>
    <xf numFmtId="164" fontId="71" fillId="24" borderId="0" xfId="0" applyNumberFormat="1" applyFont="1" applyFill="1" applyAlignment="1">
      <alignment horizontal="center"/>
    </xf>
    <xf numFmtId="0" fontId="10" fillId="24" borderId="0" xfId="0" applyFont="1" applyFill="1"/>
    <xf numFmtId="0" fontId="10" fillId="24" borderId="0" xfId="0" applyFont="1" applyFill="1" applyAlignment="1">
      <alignment horizontal="center"/>
    </xf>
    <xf numFmtId="0" fontId="71" fillId="24" borderId="0" xfId="0" applyFont="1" applyFill="1" applyAlignment="1">
      <alignment horizontal="center"/>
    </xf>
    <xf numFmtId="164" fontId="72" fillId="24" borderId="0" xfId="0" applyNumberFormat="1" applyFont="1" applyFill="1"/>
    <xf numFmtId="164" fontId="71" fillId="24" borderId="0" xfId="0" applyNumberFormat="1" applyFont="1" applyFill="1"/>
    <xf numFmtId="0" fontId="78" fillId="23" borderId="0" xfId="0" applyFont="1" applyFill="1" applyAlignment="1">
      <alignment horizontal="right"/>
    </xf>
    <xf numFmtId="164" fontId="72" fillId="24" borderId="0" xfId="0" applyNumberFormat="1" applyFont="1" applyFill="1" applyAlignment="1">
      <alignment horizontal="right"/>
    </xf>
    <xf numFmtId="164" fontId="71" fillId="24" borderId="0" xfId="0" applyNumberFormat="1" applyFont="1" applyFill="1" applyAlignment="1">
      <alignment horizontal="right"/>
    </xf>
    <xf numFmtId="0" fontId="2" fillId="24" borderId="0" xfId="0" applyFont="1" applyFill="1"/>
    <xf numFmtId="0" fontId="72" fillId="24" borderId="0" xfId="0" applyFont="1" applyFill="1" applyAlignment="1">
      <alignment horizontal="right"/>
    </xf>
    <xf numFmtId="0" fontId="71" fillId="24" borderId="0" xfId="0" applyFont="1" applyFill="1" applyAlignment="1">
      <alignment horizontal="right"/>
    </xf>
    <xf numFmtId="0" fontId="83" fillId="5" borderId="0" xfId="0" applyFont="1" applyFill="1"/>
    <xf numFmtId="0" fontId="80" fillId="5" borderId="0" xfId="0" applyFont="1" applyFill="1"/>
    <xf numFmtId="0" fontId="0" fillId="5" borderId="0" xfId="0" applyFill="1"/>
    <xf numFmtId="198" fontId="0" fillId="5" borderId="0" xfId="0" applyNumberFormat="1" applyFill="1"/>
    <xf numFmtId="198" fontId="97" fillId="5" borderId="0" xfId="0" applyNumberFormat="1" applyFont="1" applyFill="1"/>
    <xf numFmtId="198" fontId="80" fillId="5" borderId="0" xfId="0" applyNumberFormat="1" applyFont="1" applyFill="1"/>
    <xf numFmtId="198" fontId="98" fillId="5" borderId="0" xfId="0" applyNumberFormat="1" applyFont="1" applyFill="1"/>
    <xf numFmtId="0" fontId="97" fillId="5" borderId="0" xfId="0" applyFont="1" applyFill="1"/>
    <xf numFmtId="165" fontId="1" fillId="5" borderId="0" xfId="2" applyNumberFormat="1" applyFont="1" applyFill="1"/>
    <xf numFmtId="165" fontId="97" fillId="5" borderId="0" xfId="2" applyNumberFormat="1" applyFont="1" applyFill="1"/>
    <xf numFmtId="0" fontId="98" fillId="5" borderId="0" xfId="0" applyFont="1" applyFill="1"/>
    <xf numFmtId="0" fontId="0" fillId="25" borderId="0" xfId="0" applyFill="1"/>
    <xf numFmtId="0" fontId="97" fillId="25" borderId="0" xfId="0" applyFont="1" applyFill="1"/>
    <xf numFmtId="165" fontId="0" fillId="5" borderId="0" xfId="2" applyNumberFormat="1" applyFont="1" applyFill="1"/>
    <xf numFmtId="165" fontId="0" fillId="5" borderId="0" xfId="0" applyNumberFormat="1" applyFill="1"/>
    <xf numFmtId="165" fontId="80" fillId="5" borderId="0" xfId="0" applyNumberFormat="1" applyFont="1" applyFill="1"/>
    <xf numFmtId="0" fontId="99" fillId="25" borderId="0" xfId="0" applyFont="1" applyFill="1"/>
    <xf numFmtId="0" fontId="99" fillId="5" borderId="0" xfId="0" applyFont="1" applyFill="1"/>
    <xf numFmtId="0" fontId="100" fillId="5" borderId="0" xfId="0" applyFont="1" applyFill="1"/>
    <xf numFmtId="0" fontId="82" fillId="5" borderId="0" xfId="0" applyFont="1" applyFill="1"/>
    <xf numFmtId="0" fontId="81" fillId="5" borderId="0" xfId="0" applyFont="1" applyFill="1"/>
    <xf numFmtId="0" fontId="81" fillId="11" borderId="0" xfId="0" applyFont="1" applyFill="1"/>
    <xf numFmtId="0" fontId="80" fillId="11" borderId="0" xfId="0" applyFont="1" applyFill="1"/>
    <xf numFmtId="17" fontId="99" fillId="5" borderId="0" xfId="0" applyNumberFormat="1" applyFont="1" applyFill="1" applyAlignment="1">
      <alignment horizontal="right"/>
    </xf>
    <xf numFmtId="17" fontId="99" fillId="25" borderId="0" xfId="0" applyNumberFormat="1" applyFont="1" applyFill="1" applyAlignment="1">
      <alignment horizontal="right"/>
    </xf>
    <xf numFmtId="0" fontId="100" fillId="25" borderId="0" xfId="0" applyFont="1" applyFill="1"/>
    <xf numFmtId="0" fontId="0" fillId="5" borderId="0" xfId="0" applyFill="1" applyAlignment="1">
      <alignment horizontal="left" indent="1"/>
    </xf>
    <xf numFmtId="0" fontId="80" fillId="5" borderId="2" xfId="0" applyFont="1" applyFill="1" applyBorder="1"/>
    <xf numFmtId="198" fontId="80" fillId="5" borderId="2" xfId="0" applyNumberFormat="1" applyFont="1" applyFill="1" applyBorder="1"/>
    <xf numFmtId="0" fontId="80" fillId="11" borderId="2" xfId="0" applyFont="1" applyFill="1" applyBorder="1"/>
    <xf numFmtId="17" fontId="81" fillId="26" borderId="0" xfId="0" applyNumberFormat="1" applyFont="1" applyFill="1" applyAlignment="1">
      <alignment horizontal="right"/>
    </xf>
    <xf numFmtId="17" fontId="99" fillId="19" borderId="0" xfId="0" applyNumberFormat="1" applyFont="1" applyFill="1"/>
    <xf numFmtId="164" fontId="77" fillId="12" borderId="0" xfId="1" applyNumberFormat="1" applyFont="1" applyFill="1" applyBorder="1" applyAlignment="1">
      <alignment horizontal="center"/>
    </xf>
    <xf numFmtId="9" fontId="0" fillId="5" borderId="0" xfId="2" applyFont="1" applyFill="1"/>
    <xf numFmtId="43" fontId="13" fillId="0" borderId="0" xfId="0" applyNumberFormat="1" applyFont="1" applyAlignment="1">
      <alignment horizontal="right"/>
    </xf>
    <xf numFmtId="43" fontId="0" fillId="5" borderId="0" xfId="0" applyNumberFormat="1" applyFill="1"/>
    <xf numFmtId="165" fontId="80" fillId="5" borderId="2" xfId="2" applyNumberFormat="1" applyFont="1" applyFill="1" applyBorder="1"/>
    <xf numFmtId="9" fontId="0" fillId="26" borderId="0" xfId="0" applyNumberFormat="1" applyFill="1"/>
    <xf numFmtId="0" fontId="80" fillId="5" borderId="3" xfId="0" applyFont="1" applyFill="1" applyBorder="1"/>
    <xf numFmtId="0" fontId="0" fillId="5" borderId="3" xfId="0" applyFill="1" applyBorder="1"/>
    <xf numFmtId="165" fontId="0" fillId="5" borderId="3" xfId="2" applyNumberFormat="1" applyFont="1" applyFill="1" applyBorder="1"/>
    <xf numFmtId="165" fontId="80" fillId="5" borderId="0" xfId="2" applyNumberFormat="1" applyFont="1" applyFill="1" applyBorder="1"/>
    <xf numFmtId="165" fontId="0" fillId="5" borderId="0" xfId="2" applyNumberFormat="1" applyFont="1" applyFill="1" applyBorder="1"/>
    <xf numFmtId="165" fontId="1" fillId="5" borderId="2" xfId="2" applyNumberFormat="1" applyFont="1" applyFill="1" applyBorder="1"/>
    <xf numFmtId="198" fontId="98" fillId="5" borderId="2" xfId="0" applyNumberFormat="1" applyFont="1" applyFill="1" applyBorder="1"/>
    <xf numFmtId="165" fontId="80" fillId="5" borderId="2" xfId="0" applyNumberFormat="1" applyFont="1" applyFill="1" applyBorder="1"/>
    <xf numFmtId="165" fontId="82" fillId="5" borderId="0" xfId="2" applyNumberFormat="1" applyFont="1" applyFill="1"/>
    <xf numFmtId="165" fontId="1" fillId="5" borderId="0" xfId="2" applyNumberFormat="1" applyFont="1" applyFill="1" applyBorder="1"/>
    <xf numFmtId="198" fontId="0" fillId="5" borderId="2" xfId="0" applyNumberFormat="1" applyFill="1" applyBorder="1"/>
    <xf numFmtId="198" fontId="97" fillId="5" borderId="2" xfId="0" applyNumberFormat="1" applyFont="1" applyFill="1" applyBorder="1"/>
    <xf numFmtId="165" fontId="0" fillId="5" borderId="2" xfId="0" applyNumberFormat="1" applyFill="1" applyBorder="1"/>
    <xf numFmtId="198" fontId="82" fillId="5" borderId="0" xfId="0" applyNumberFormat="1" applyFont="1" applyFill="1"/>
    <xf numFmtId="170" fontId="71" fillId="0" borderId="2" xfId="10" applyNumberFormat="1" applyFont="1" applyBorder="1"/>
    <xf numFmtId="170" fontId="13" fillId="0" borderId="2" xfId="10" applyNumberFormat="1" applyFont="1" applyBorder="1"/>
    <xf numFmtId="170" fontId="71" fillId="0" borderId="3" xfId="10" applyNumberFormat="1" applyFont="1" applyBorder="1"/>
    <xf numFmtId="170" fontId="71" fillId="0" borderId="2" xfId="10" applyNumberFormat="1" applyFont="1" applyBorder="1" applyAlignment="1">
      <alignment horizontal="left"/>
    </xf>
    <xf numFmtId="164" fontId="78" fillId="0" borderId="2" xfId="1" applyNumberFormat="1" applyFont="1" applyFill="1" applyBorder="1" applyAlignment="1">
      <alignment horizontal="right"/>
    </xf>
    <xf numFmtId="0" fontId="86" fillId="5" borderId="0" xfId="0" applyFont="1" applyFill="1" applyAlignment="1">
      <alignment horizontal="left" vertical="top" wrapText="1"/>
    </xf>
    <xf numFmtId="165" fontId="80" fillId="5" borderId="0" xfId="2" applyNumberFormat="1" applyFont="1" applyFill="1"/>
  </cellXfs>
  <cellStyles count="252">
    <cellStyle name="          _x000d__x000a_shell=progman.exe_x000d__x000a_m" xfId="18" xr:uid="{00000000-0005-0000-0000-000000000000}"/>
    <cellStyle name="%" xfId="15" xr:uid="{00000000-0005-0000-0000-000001000000}"/>
    <cellStyle name="% 2" xfId="19" xr:uid="{00000000-0005-0000-0000-000002000000}"/>
    <cellStyle name="% 2 3" xfId="16" xr:uid="{00000000-0005-0000-0000-000003000000}"/>
    <cellStyle name="%_International Operations KPIs" xfId="146" xr:uid="{00000000-0005-0000-0000-000004000000}"/>
    <cellStyle name="%_Other India financials" xfId="137" xr:uid="{00000000-0005-0000-0000-000005000000}"/>
    <cellStyle name="%_Reported Group Profit and Loss" xfId="158" xr:uid="{00000000-0005-0000-0000-000006000000}"/>
    <cellStyle name=",." xfId="20" xr:uid="{00000000-0005-0000-0000-000007000000}"/>
    <cellStyle name="??" xfId="21" xr:uid="{00000000-0005-0000-0000-000008000000}"/>
    <cellStyle name="?? [0.00]_PRODUCT DETAIL Q1" xfId="22" xr:uid="{00000000-0005-0000-0000-000009000000}"/>
    <cellStyle name="?? [0]" xfId="23" xr:uid="{00000000-0005-0000-0000-00000A000000}"/>
    <cellStyle name="???? [0.00]_PRODUCT DETAIL Q1" xfId="24" xr:uid="{00000000-0005-0000-0000-00000B000000}"/>
    <cellStyle name="????_PRODUCT DETAIL Q1" xfId="25" xr:uid="{00000000-0005-0000-0000-00000C000000}"/>
    <cellStyle name="???[0]_Book1" xfId="26" xr:uid="{00000000-0005-0000-0000-00000D000000}"/>
    <cellStyle name="???_95" xfId="27" xr:uid="{00000000-0005-0000-0000-00000E000000}"/>
    <cellStyle name="??_(????)??????" xfId="28" xr:uid="{00000000-0005-0000-0000-00000F000000}"/>
    <cellStyle name="\" xfId="29" xr:uid="{00000000-0005-0000-0000-000010000000}"/>
    <cellStyle name="_BML_Punjab_June'04" xfId="30" xr:uid="{00000000-0005-0000-0000-000011000000}"/>
    <cellStyle name="_Detail Report-REG &amp; FTH" xfId="31" xr:uid="{00000000-0005-0000-0000-000012000000}"/>
    <cellStyle name="_ESOP_Exercisable options_March'05" xfId="32" xr:uid="{00000000-0005-0000-0000-000013000000}"/>
    <cellStyle name="_ESOP_Weighted avg. ex. period_March'05" xfId="33" xr:uid="{00000000-0005-0000-0000-000014000000}"/>
    <cellStyle name="_Fas 157 &amp; 159" xfId="34" xr:uid="{00000000-0005-0000-0000-000015000000}"/>
    <cellStyle name="_Sheet1" xfId="35" xr:uid="{00000000-0005-0000-0000-000016000000}"/>
    <cellStyle name="_Sheet1_1" xfId="36" xr:uid="{00000000-0005-0000-0000-000017000000}"/>
    <cellStyle name="_Sheet2" xfId="37" xr:uid="{00000000-0005-0000-0000-000018000000}"/>
    <cellStyle name="_Sheet2_1" xfId="38" xr:uid="{00000000-0005-0000-0000-000019000000}"/>
    <cellStyle name="_Sheet2_1_Sheet2" xfId="39" xr:uid="{00000000-0005-0000-0000-00001A000000}"/>
    <cellStyle name="_Sheet3" xfId="40" xr:uid="{00000000-0005-0000-0000-00001B000000}"/>
    <cellStyle name="=C:\WINNT\SYSTEM32\COMMAND.COM" xfId="41" xr:uid="{00000000-0005-0000-0000-00001C000000}"/>
    <cellStyle name="=F:\WINNT\SYSTEM32\COMMAND.COM" xfId="42" xr:uid="{00000000-0005-0000-0000-00001D000000}"/>
    <cellStyle name="0,0_x000d__x000a_NA_x000d__x000a_" xfId="43" xr:uid="{00000000-0005-0000-0000-00001E000000}"/>
    <cellStyle name="0,0_x000d__x000a_NA_x000d__x000a_ 2" xfId="44" xr:uid="{00000000-0005-0000-0000-00001F000000}"/>
    <cellStyle name="1" xfId="45" xr:uid="{00000000-0005-0000-0000-000020000000}"/>
    <cellStyle name="18" xfId="46" xr:uid="{00000000-0005-0000-0000-000021000000}"/>
    <cellStyle name="2" xfId="47" xr:uid="{00000000-0005-0000-0000-000022000000}"/>
    <cellStyle name="3" xfId="48" xr:uid="{00000000-0005-0000-0000-000023000000}"/>
    <cellStyle name="4" xfId="49" xr:uid="{00000000-0005-0000-0000-000024000000}"/>
    <cellStyle name="6" xfId="50" xr:uid="{00000000-0005-0000-0000-000025000000}"/>
    <cellStyle name="ÅëÈ­ [0]_¿ì¹°Åë" xfId="51" xr:uid="{00000000-0005-0000-0000-000026000000}"/>
    <cellStyle name="AeE­ [0]_INQUIRY ¿µ¾÷AßAø " xfId="52" xr:uid="{00000000-0005-0000-0000-000027000000}"/>
    <cellStyle name="ÅëÈ­ [0]_S" xfId="53" xr:uid="{00000000-0005-0000-0000-000028000000}"/>
    <cellStyle name="ÅëÈ­_¿ì¹°Åë" xfId="54" xr:uid="{00000000-0005-0000-0000-000029000000}"/>
    <cellStyle name="AeE­_INQUIRY ¿µ¾÷AßAø " xfId="55" xr:uid="{00000000-0005-0000-0000-00002A000000}"/>
    <cellStyle name="ÅëÈ­_S" xfId="56" xr:uid="{00000000-0005-0000-0000-00002B000000}"/>
    <cellStyle name="APPEAR" xfId="57" xr:uid="{00000000-0005-0000-0000-00002C000000}"/>
    <cellStyle name="ÄÞ¸¶ [0]_¿ì¹°Åë" xfId="58" xr:uid="{00000000-0005-0000-0000-00002D000000}"/>
    <cellStyle name="AÞ¸¶ [0]_INQUIRY ¿?¾÷AßAø " xfId="59" xr:uid="{00000000-0005-0000-0000-00002E000000}"/>
    <cellStyle name="ÄÞ¸¶ [0]_S" xfId="60" xr:uid="{00000000-0005-0000-0000-00002F000000}"/>
    <cellStyle name="ÄÞ¸¶_¿ì¹°Åë" xfId="61" xr:uid="{00000000-0005-0000-0000-000030000000}"/>
    <cellStyle name="AÞ¸¶_INQUIRY ¿?¾÷AßAø " xfId="62" xr:uid="{00000000-0005-0000-0000-000031000000}"/>
    <cellStyle name="ÄÞ¸¶_S" xfId="63" xr:uid="{00000000-0005-0000-0000-000032000000}"/>
    <cellStyle name="BKWmas" xfId="64" xr:uid="{00000000-0005-0000-0000-000033000000}"/>
    <cellStyle name="Body" xfId="65" xr:uid="{00000000-0005-0000-0000-000034000000}"/>
    <cellStyle name="C?AØ_¿?¾÷CoE² " xfId="66" xr:uid="{00000000-0005-0000-0000-000035000000}"/>
    <cellStyle name="Ç¥ÁØ_´çÃÊ±¸ÀÔ»ý»ê" xfId="67" xr:uid="{00000000-0005-0000-0000-000036000000}"/>
    <cellStyle name="C￥AØ_¿μ¾÷CoE² " xfId="68" xr:uid="{00000000-0005-0000-0000-000037000000}"/>
    <cellStyle name="Ç¥ÁØ_S" xfId="69" xr:uid="{00000000-0005-0000-0000-000038000000}"/>
    <cellStyle name="Comma" xfId="1" builtinId="3"/>
    <cellStyle name="Comma 10" xfId="8" xr:uid="{00000000-0005-0000-0000-00003A000000}"/>
    <cellStyle name="Comma 2" xfId="9" xr:uid="{00000000-0005-0000-0000-00003B000000}"/>
    <cellStyle name="Comma 2 2" xfId="71" xr:uid="{00000000-0005-0000-0000-00003C000000}"/>
    <cellStyle name="Comma 3" xfId="6" xr:uid="{00000000-0005-0000-0000-00003D000000}"/>
    <cellStyle name="Comma 3 2" xfId="72" xr:uid="{00000000-0005-0000-0000-00003E000000}"/>
    <cellStyle name="Comma 4" xfId="70" xr:uid="{00000000-0005-0000-0000-00003F000000}"/>
    <cellStyle name="Comma_IFRS_Segment_Consol_BAL_March 2009" xfId="10" xr:uid="{00000000-0005-0000-0000-000040000000}"/>
    <cellStyle name="Comma_IFRS_Segment_Consol_BAL_March 2009 2" xfId="7" xr:uid="{00000000-0005-0000-0000-000041000000}"/>
    <cellStyle name="Comma0" xfId="73" xr:uid="{00000000-0005-0000-0000-000042000000}"/>
    <cellStyle name="COMPS" xfId="74" xr:uid="{00000000-0005-0000-0000-000043000000}"/>
    <cellStyle name="Currency0" xfId="75" xr:uid="{00000000-0005-0000-0000-000044000000}"/>
    <cellStyle name="DATA_ENT" xfId="76" xr:uid="{00000000-0005-0000-0000-000045000000}"/>
    <cellStyle name="Date" xfId="77" xr:uid="{00000000-0005-0000-0000-000046000000}"/>
    <cellStyle name="Dezimal [0]_Compiling Utility Macros" xfId="78" xr:uid="{00000000-0005-0000-0000-000047000000}"/>
    <cellStyle name="Dezimal_Compiling Utility Macros" xfId="79" xr:uid="{00000000-0005-0000-0000-000048000000}"/>
    <cellStyle name="DOWNFOOT" xfId="80" xr:uid="{00000000-0005-0000-0000-000049000000}"/>
    <cellStyle name="Euro" xfId="81" xr:uid="{00000000-0005-0000-0000-00004A000000}"/>
    <cellStyle name="Fixed" xfId="82" xr:uid="{00000000-0005-0000-0000-00004B000000}"/>
    <cellStyle name="Header1" xfId="83" xr:uid="{00000000-0005-0000-0000-00004C000000}"/>
    <cellStyle name="Header2" xfId="84" xr:uid="{00000000-0005-0000-0000-00004D000000}"/>
    <cellStyle name="HIDE" xfId="85" xr:uid="{00000000-0005-0000-0000-00004E000000}"/>
    <cellStyle name="Hyperlink" xfId="14" builtinId="8"/>
    <cellStyle name="Hyperlink 2" xfId="86" xr:uid="{00000000-0005-0000-0000-000050000000}"/>
    <cellStyle name="LineItemValue" xfId="87" xr:uid="{00000000-0005-0000-0000-000051000000}"/>
    <cellStyle name="MARK" xfId="88" xr:uid="{00000000-0005-0000-0000-000052000000}"/>
    <cellStyle name="n" xfId="89" xr:uid="{00000000-0005-0000-0000-000053000000}"/>
    <cellStyle name="no dec" xfId="90" xr:uid="{00000000-0005-0000-0000-000054000000}"/>
    <cellStyle name="Nor}al" xfId="91" xr:uid="{00000000-0005-0000-0000-000055000000}"/>
    <cellStyle name="Normal" xfId="0" builtinId="0"/>
    <cellStyle name="Normal - Style1" xfId="92" xr:uid="{00000000-0005-0000-0000-000057000000}"/>
    <cellStyle name="Normal 10" xfId="141" xr:uid="{00000000-0005-0000-0000-000058000000}"/>
    <cellStyle name="Normal 100" xfId="228" xr:uid="{DF5E9F0E-E321-4C0F-877D-D4581994526F}"/>
    <cellStyle name="Normal 101" xfId="234" xr:uid="{10091931-E963-4AB9-9F84-8635A4C01C41}"/>
    <cellStyle name="Normal 102" xfId="243" xr:uid="{9FC99FFF-6D37-4D08-8BEA-4DCB8604B68B}"/>
    <cellStyle name="Normal 103" xfId="217" xr:uid="{D5DD8833-ADF4-4130-BBDD-0B606AEB6C37}"/>
    <cellStyle name="Normal 104" xfId="244" xr:uid="{93035A06-8ACF-46FA-B4D5-8D842424BE08}"/>
    <cellStyle name="Normal 105" xfId="214" xr:uid="{BE30428E-141C-4D5E-964F-2ABF6FAD2932}"/>
    <cellStyle name="Normal 106" xfId="245" xr:uid="{07E997F4-6E83-48FC-AEB8-A7328F14C5C8}"/>
    <cellStyle name="Normal 107" xfId="211" xr:uid="{20711F80-33D3-49A9-8C44-864FBAB9AE20}"/>
    <cellStyle name="Normal 108" xfId="246" xr:uid="{7DF57CA1-5951-4BEB-90C2-48B791204708}"/>
    <cellStyle name="Normal 109" xfId="208" xr:uid="{44843FE4-69E9-4846-8EA5-37A68E3E11E1}"/>
    <cellStyle name="Normal 11" xfId="142" xr:uid="{00000000-0005-0000-0000-000059000000}"/>
    <cellStyle name="Normal 110" xfId="247" xr:uid="{3F157402-0AAA-4472-8115-6F091B53BBDC}"/>
    <cellStyle name="Normal 111" xfId="205" xr:uid="{C6779BB7-5B96-4908-9B4E-E51D5F68CDDB}"/>
    <cellStyle name="Normal 112" xfId="248" xr:uid="{B5F493BC-F15F-4802-AFE2-C0D3F85D3708}"/>
    <cellStyle name="Normal 113" xfId="202" xr:uid="{95DF7D54-2CE6-456D-BD8C-EE68A7D149D2}"/>
    <cellStyle name="Normal 114" xfId="249" xr:uid="{6B9C7DB3-17D2-44BC-AFD2-FEA4227FB664}"/>
    <cellStyle name="Normal 115" xfId="241" xr:uid="{2BFFC35E-F99A-4454-A050-8C5F81FAFCFF}"/>
    <cellStyle name="Normal 116" xfId="250" xr:uid="{C84DB6A3-006D-4302-9CD4-A53271119C5C}"/>
    <cellStyle name="Normal 117" xfId="242" xr:uid="{57081E14-7C04-485E-9BA6-41DDF081F79C}"/>
    <cellStyle name="Normal 118" xfId="251" xr:uid="{E7357E15-9DA6-4DEC-832F-6F0B72FFB147}"/>
    <cellStyle name="Normal 12" xfId="143" xr:uid="{00000000-0005-0000-0000-00005A000000}"/>
    <cellStyle name="Normal 13" xfId="144" xr:uid="{00000000-0005-0000-0000-00005B000000}"/>
    <cellStyle name="Normal 14" xfId="145" xr:uid="{00000000-0005-0000-0000-00005C000000}"/>
    <cellStyle name="Normal 15" xfId="136" xr:uid="{00000000-0005-0000-0000-00005D000000}"/>
    <cellStyle name="Normal 16" xfId="148" xr:uid="{00000000-0005-0000-0000-00005E000000}"/>
    <cellStyle name="Normal 17" xfId="149" xr:uid="{00000000-0005-0000-0000-00005F000000}"/>
    <cellStyle name="Normal 18" xfId="150" xr:uid="{00000000-0005-0000-0000-000060000000}"/>
    <cellStyle name="Normal 19" xfId="151" xr:uid="{00000000-0005-0000-0000-000061000000}"/>
    <cellStyle name="Normal 2" xfId="5" xr:uid="{00000000-0005-0000-0000-000062000000}"/>
    <cellStyle name="Normal 2 2" xfId="176" xr:uid="{32ED698F-D6F6-45AB-B10E-D8C82CA5BF05}"/>
    <cellStyle name="Normal 20" xfId="152" xr:uid="{00000000-0005-0000-0000-000063000000}"/>
    <cellStyle name="Normal 21" xfId="153" xr:uid="{00000000-0005-0000-0000-000064000000}"/>
    <cellStyle name="Normal 22" xfId="147" xr:uid="{00000000-0005-0000-0000-000065000000}"/>
    <cellStyle name="Normal 23" xfId="154" xr:uid="{00000000-0005-0000-0000-000066000000}"/>
    <cellStyle name="Normal 24" xfId="155" xr:uid="{00000000-0005-0000-0000-000067000000}"/>
    <cellStyle name="Normal 25" xfId="156" xr:uid="{00000000-0005-0000-0000-000068000000}"/>
    <cellStyle name="Normal 26" xfId="135" xr:uid="{00000000-0005-0000-0000-000069000000}"/>
    <cellStyle name="Normal 27" xfId="157" xr:uid="{00000000-0005-0000-0000-00006A000000}"/>
    <cellStyle name="Normal 28" xfId="159" xr:uid="{00000000-0005-0000-0000-00006B000000}"/>
    <cellStyle name="Normal 29" xfId="160" xr:uid="{00000000-0005-0000-0000-00006C000000}"/>
    <cellStyle name="Normal 3" xfId="3" xr:uid="{00000000-0005-0000-0000-00006D000000}"/>
    <cellStyle name="Normal 3 2" xfId="233" xr:uid="{3927F380-0BFF-46FB-98DD-55472CA2E8E4}"/>
    <cellStyle name="Normal 30" xfId="161" xr:uid="{00000000-0005-0000-0000-00006E000000}"/>
    <cellStyle name="Normal 31" xfId="162" xr:uid="{00000000-0005-0000-0000-00006F000000}"/>
    <cellStyle name="Normal 32" xfId="163" xr:uid="{00000000-0005-0000-0000-000070000000}"/>
    <cellStyle name="Normal 33" xfId="164" xr:uid="{00000000-0005-0000-0000-000071000000}"/>
    <cellStyle name="Normal 34" xfId="165" xr:uid="{00000000-0005-0000-0000-000072000000}"/>
    <cellStyle name="Normal 35" xfId="166" xr:uid="{00000000-0005-0000-0000-000073000000}"/>
    <cellStyle name="Normal 36" xfId="167" xr:uid="{00000000-0005-0000-0000-000074000000}"/>
    <cellStyle name="Normal 37" xfId="168" xr:uid="{00000000-0005-0000-0000-000075000000}"/>
    <cellStyle name="Normal 38" xfId="169" xr:uid="{00000000-0005-0000-0000-000076000000}"/>
    <cellStyle name="Normal 39" xfId="170" xr:uid="{00000000-0005-0000-0000-000077000000}"/>
    <cellStyle name="Normal 4" xfId="93" xr:uid="{00000000-0005-0000-0000-000078000000}"/>
    <cellStyle name="Normal 40" xfId="171" xr:uid="{00000000-0005-0000-0000-000079000000}"/>
    <cellStyle name="Normal 41" xfId="172" xr:uid="{00000000-0005-0000-0000-00007A000000}"/>
    <cellStyle name="Normal 42" xfId="173" xr:uid="{00000000-0005-0000-0000-00007B000000}"/>
    <cellStyle name="Normal 43" xfId="174" xr:uid="{00000000-0005-0000-0000-00007C000000}"/>
    <cellStyle name="Normal 44" xfId="175" xr:uid="{00000000-0005-0000-0000-00007D000000}"/>
    <cellStyle name="Normal 45" xfId="177" xr:uid="{27DA4F26-A172-407C-AAE2-0FA5A3A5A029}"/>
    <cellStyle name="Normal 46" xfId="232" xr:uid="{606DFA03-E5DC-47A2-B97B-FE7FA0A512BD}"/>
    <cellStyle name="Normal 47" xfId="238" xr:uid="{0F702E1D-0CD0-42F0-B165-4452C522718E}"/>
    <cellStyle name="Normal 48" xfId="229" xr:uid="{96F2D576-EDFF-4277-BDF3-E1224D044806}"/>
    <cellStyle name="Normal 49" xfId="235" xr:uid="{68EBD232-6B0B-421A-AA44-9C29324EB957}"/>
    <cellStyle name="Normal 5" xfId="17" xr:uid="{00000000-0005-0000-0000-00007E000000}"/>
    <cellStyle name="Normal 50" xfId="226" xr:uid="{0973FF94-DA36-4D9A-B8C5-2BD9B72633F8}"/>
    <cellStyle name="Normal 51" xfId="179" xr:uid="{14E0DAB1-EF7E-4368-934F-71D6096043F5}"/>
    <cellStyle name="Normal 52" xfId="224" xr:uid="{A97F605A-16B9-4C33-B3BE-9517BCA36281}"/>
    <cellStyle name="Normal 53" xfId="181" xr:uid="{11C132CD-EE17-4F2F-9B04-57D54D48D6B3}"/>
    <cellStyle name="Normal 54" xfId="222" xr:uid="{2BF1D9B5-2DA4-4F49-9185-6D82B05A768C}"/>
    <cellStyle name="Normal 55" xfId="183" xr:uid="{9B6F5891-E535-452C-BA98-24C66AFA71C8}"/>
    <cellStyle name="Normal 56" xfId="220" xr:uid="{572D9E33-CF3D-41E4-B543-E851E13332C7}"/>
    <cellStyle name="Normal 57" xfId="185" xr:uid="{C1E95030-B7C1-4D76-9C93-9C823C8CA17A}"/>
    <cellStyle name="Normal 58" xfId="218" xr:uid="{1BE2714B-16F6-46E0-8551-458CE5A76CBB}"/>
    <cellStyle name="Normal 59" xfId="187" xr:uid="{9917C8E5-6B22-485B-9EE3-EB61565B95BC}"/>
    <cellStyle name="Normal 6" xfId="106" xr:uid="{00000000-0005-0000-0000-00007F000000}"/>
    <cellStyle name="Normal 60" xfId="215" xr:uid="{F20D3E28-EA56-46C8-A305-AC2BFD71B98F}"/>
    <cellStyle name="Normal 61" xfId="189" xr:uid="{3FC953D0-12BE-482D-8C0A-E92286019A41}"/>
    <cellStyle name="Normal 62" xfId="212" xr:uid="{8464FF34-E2ED-4F22-BD35-C5CB44232188}"/>
    <cellStyle name="Normal 63" xfId="191" xr:uid="{1906F00B-E683-4866-B0F8-7ABC681F8F82}"/>
    <cellStyle name="Normal 64" xfId="209" xr:uid="{D495F7B1-34DD-4E1B-8DA3-99DBFFF7BD0C}"/>
    <cellStyle name="Normal 65" xfId="193" xr:uid="{B0E308E6-7329-4546-9D41-2A3E3BC7E97B}"/>
    <cellStyle name="Normal 66" xfId="206" xr:uid="{2703DD1C-7CEC-4605-A3DE-EFC4FD322C3D}"/>
    <cellStyle name="Normal 67" xfId="195" xr:uid="{E6F7382C-6A6B-4D66-BE4F-6A88B9139E5A}"/>
    <cellStyle name="Normal 68" xfId="203" xr:uid="{7042ED98-BCC3-490C-AD0F-8345048F825D}"/>
    <cellStyle name="Normal 69" xfId="197" xr:uid="{802FFE42-8E6F-42A0-B97D-4D3F182C2E66}"/>
    <cellStyle name="Normal 7" xfId="138" xr:uid="{00000000-0005-0000-0000-000080000000}"/>
    <cellStyle name="Normal 70" xfId="201" xr:uid="{85631010-C684-4CD4-95C4-4C04A69DE115}"/>
    <cellStyle name="Normal 71" xfId="198" xr:uid="{968C8F09-22F7-4AC7-B19E-008810C689B5}"/>
    <cellStyle name="Normal 72" xfId="200" xr:uid="{6A6427E6-1455-4053-9131-CB0E80A9F97A}"/>
    <cellStyle name="Normal 73" xfId="199" xr:uid="{0EBC8C2A-EA4E-4D67-A333-5853F4D65DFA}"/>
    <cellStyle name="Normal 74" xfId="239" xr:uid="{C98F5200-A043-4544-97F7-D92BB6C05402}"/>
    <cellStyle name="Normal 75" xfId="230" xr:uid="{BEF9763F-4679-4150-943E-B5D86F566AC9}"/>
    <cellStyle name="Normal 76" xfId="236" xr:uid="{A213E8F8-C4E2-42CA-8F0D-F605C919A3FA}"/>
    <cellStyle name="Normal 77" xfId="227" xr:uid="{5FD210FB-0278-41EF-B7C4-308EE4D03835}"/>
    <cellStyle name="Normal 78" xfId="178" xr:uid="{77B4902A-7936-4281-9E4E-5C0177E24582}"/>
    <cellStyle name="Normal 79" xfId="225" xr:uid="{34B9BE61-A38F-415D-A6B1-38891834C788}"/>
    <cellStyle name="Normal 8" xfId="139" xr:uid="{00000000-0005-0000-0000-000081000000}"/>
    <cellStyle name="Normal 80" xfId="180" xr:uid="{55C92B73-2344-48DF-AEF2-8307F075778B}"/>
    <cellStyle name="Normal 81" xfId="223" xr:uid="{41D8CDA5-4B77-4019-AB54-9CBF78E915C1}"/>
    <cellStyle name="Normal 82" xfId="182" xr:uid="{63D7109F-FB07-4299-88DE-2F7045725CCB}"/>
    <cellStyle name="Normal 83" xfId="221" xr:uid="{1CCB9CC7-A1C0-459C-BD63-777ABF3D0762}"/>
    <cellStyle name="Normal 84" xfId="184" xr:uid="{D48F4556-BC80-41D1-9BD5-86318607AF58}"/>
    <cellStyle name="Normal 85" xfId="219" xr:uid="{1CC06191-F115-415E-A281-4E0C6C3BF1C1}"/>
    <cellStyle name="Normal 86" xfId="186" xr:uid="{C4C91DB0-7AD8-4E9F-96E1-363412571D52}"/>
    <cellStyle name="Normal 87" xfId="216" xr:uid="{7BC256B7-9720-4971-8FBD-372364984F59}"/>
    <cellStyle name="Normal 88" xfId="188" xr:uid="{F27489D3-8094-4E99-ACFC-3409658F35A1}"/>
    <cellStyle name="Normal 89" xfId="213" xr:uid="{83CF2A17-8C6B-4761-895C-C11805FBA980}"/>
    <cellStyle name="Normal 9" xfId="140" xr:uid="{00000000-0005-0000-0000-000082000000}"/>
    <cellStyle name="Normal 90" xfId="190" xr:uid="{87756020-0E0A-4AA6-A7AF-D23A2F4A3C3E}"/>
    <cellStyle name="Normal 91" xfId="210" xr:uid="{1E885448-AF5C-4A05-A356-7F6329E92EE1}"/>
    <cellStyle name="Normal 92" xfId="192" xr:uid="{F7D818F8-4992-4478-8274-D20399CBFAA5}"/>
    <cellStyle name="Normal 93" xfId="207" xr:uid="{384DAD3C-7BD6-4D34-83FF-1DB7BAEF8954}"/>
    <cellStyle name="Normal 94" xfId="194" xr:uid="{5CA05FC3-693C-4B76-932E-F3489974A796}"/>
    <cellStyle name="Normal 95" xfId="204" xr:uid="{946380CA-6E4E-4B6F-A7E4-489CF531AA2F}"/>
    <cellStyle name="Normal 96" xfId="196" xr:uid="{EBB211AE-1F47-4E94-A6BD-5F8E4B40F9B2}"/>
    <cellStyle name="Normal 97" xfId="240" xr:uid="{81083CE7-8D79-4D6E-87AB-39619290CDA5}"/>
    <cellStyle name="Normal 98" xfId="231" xr:uid="{4605A660-1AE2-4712-9E45-F1E6455C3504}"/>
    <cellStyle name="Normal 99" xfId="237" xr:uid="{DFB70DE8-D8DE-4793-87B3-A7EABA76382E}"/>
    <cellStyle name="Normal_Reconciliation" xfId="4" xr:uid="{00000000-0005-0000-0000-000083000000}"/>
    <cellStyle name="Normal_US GAAP_Consolidation_BTVL_3 Year_2002-03" xfId="11" xr:uid="{00000000-0005-0000-0000-000084000000}"/>
    <cellStyle name="oft Excel]_x000d__x000a_Comment=The open=/f lines load custom functions into the Paste Function list._x000d__x000a_Maximized=2_x000d__x000a_Basics=1_x000d__x000a_A" xfId="94" xr:uid="{00000000-0005-0000-0000-000085000000}"/>
    <cellStyle name="oft Excel]_x000d__x000a_Comment=The open=/f lines load custom functions into the Paste Function list._x000d__x000a_Maximized=3_x000d__x000a_Basics=1_x000d__x000a_A" xfId="95" xr:uid="{00000000-0005-0000-0000-000086000000}"/>
    <cellStyle name="Output Amounts" xfId="96" xr:uid="{00000000-0005-0000-0000-000087000000}"/>
    <cellStyle name="Output Column Headings" xfId="97" xr:uid="{00000000-0005-0000-0000-000088000000}"/>
    <cellStyle name="Output Line Items" xfId="98" xr:uid="{00000000-0005-0000-0000-000089000000}"/>
    <cellStyle name="Output Report Heading" xfId="99" xr:uid="{00000000-0005-0000-0000-00008A000000}"/>
    <cellStyle name="Output Report Title" xfId="100" xr:uid="{00000000-0005-0000-0000-00008B000000}"/>
    <cellStyle name="Percent" xfId="2" builtinId="5"/>
    <cellStyle name="Percent 2" xfId="102" xr:uid="{00000000-0005-0000-0000-00008D000000}"/>
    <cellStyle name="Percent 3" xfId="101" xr:uid="{00000000-0005-0000-0000-00008E000000}"/>
    <cellStyle name="s]_x000d__x000a_spooler=yes_x000d__x000a_load=_x000d__x000a_Beep=yes_x000d__x000a_NullPort=None_x000d__x000a_BorderWidth=3_x000d__x000a_CursorBlinkRate=1200_x000d__x000a_DoubleClickSpeed=452_x000d__x000a_Programs=co" xfId="103" xr:uid="{00000000-0005-0000-0000-00008F000000}"/>
    <cellStyle name="Standard_Anpassen der Amortisation" xfId="104" xr:uid="{00000000-0005-0000-0000-000090000000}"/>
    <cellStyle name="Style 1" xfId="13" xr:uid="{00000000-0005-0000-0000-000091000000}"/>
    <cellStyle name="Style 1 2" xfId="105" xr:uid="{00000000-0005-0000-0000-000092000000}"/>
    <cellStyle name="Style 1 3" xfId="12" xr:uid="{00000000-0005-0000-0000-000093000000}"/>
    <cellStyle name="þ_x001d_ð·_x000c_æþ'_x000d_ßþU_x0001_Ø_x0005_ü_x0014__x0007__x0001__x0001_" xfId="107" xr:uid="{00000000-0005-0000-0000-000094000000}"/>
    <cellStyle name="Währung [0]_Compiling Utility Macros" xfId="108" xr:uid="{00000000-0005-0000-0000-000095000000}"/>
    <cellStyle name="Währung_Compiling Utility Macros" xfId="109" xr:uid="{00000000-0005-0000-0000-000096000000}"/>
    <cellStyle name="xuan" xfId="110" xr:uid="{00000000-0005-0000-0000-000097000000}"/>
    <cellStyle name=" [0.00]_ Att. 1- Cover" xfId="111" xr:uid="{00000000-0005-0000-0000-000098000000}"/>
    <cellStyle name="_ Att. 1- Cover" xfId="112" xr:uid="{00000000-0005-0000-0000-000099000000}"/>
    <cellStyle name="?_ Att. 1- Cover" xfId="113" xr:uid="{00000000-0005-0000-0000-00009A000000}"/>
    <cellStyle name="똿뗦먛귟 [0.00]_PRODUCT DETAIL Q1" xfId="114" xr:uid="{00000000-0005-0000-0000-00009B000000}"/>
    <cellStyle name="똿뗦먛귟_PRODUCT DETAIL Q1" xfId="115" xr:uid="{00000000-0005-0000-0000-00009C000000}"/>
    <cellStyle name="믅됞 [0.00]_PRODUCT DETAIL Q1" xfId="116" xr:uid="{00000000-0005-0000-0000-00009D000000}"/>
    <cellStyle name="믅됞_PRODUCT DETAIL Q1" xfId="117" xr:uid="{00000000-0005-0000-0000-00009E000000}"/>
    <cellStyle name="백분율_95" xfId="118" xr:uid="{00000000-0005-0000-0000-00009F000000}"/>
    <cellStyle name="뷭?_BOOKSHIP" xfId="119" xr:uid="{00000000-0005-0000-0000-0000A0000000}"/>
    <cellStyle name="콤마 [0]_1202" xfId="120" xr:uid="{00000000-0005-0000-0000-0000A1000000}"/>
    <cellStyle name="콤마_1202" xfId="121" xr:uid="{00000000-0005-0000-0000-0000A2000000}"/>
    <cellStyle name="통화 [0]_1202" xfId="122" xr:uid="{00000000-0005-0000-0000-0000A3000000}"/>
    <cellStyle name="통화_1202" xfId="123" xr:uid="{00000000-0005-0000-0000-0000A4000000}"/>
    <cellStyle name="표준_(정보부문)월별인원계획" xfId="124" xr:uid="{00000000-0005-0000-0000-0000A5000000}"/>
    <cellStyle name="一般_00Q3902REV.1" xfId="125" xr:uid="{00000000-0005-0000-0000-0000A6000000}"/>
    <cellStyle name="千分位[0]_00Q3902REV.1" xfId="126" xr:uid="{00000000-0005-0000-0000-0000A7000000}"/>
    <cellStyle name="千分位_00Q3902REV.1" xfId="127" xr:uid="{00000000-0005-0000-0000-0000A8000000}"/>
    <cellStyle name="桁区切り [0.00]_7月5日提出（HZM）" xfId="128" xr:uid="{00000000-0005-0000-0000-0000A9000000}"/>
    <cellStyle name="桁区切り_08-00 NET Summary" xfId="129" xr:uid="{00000000-0005-0000-0000-0000AA000000}"/>
    <cellStyle name="標準_(A1)BOQ " xfId="130" xr:uid="{00000000-0005-0000-0000-0000AB000000}"/>
    <cellStyle name="貨幣 [0]_00Q3902REV.1" xfId="131" xr:uid="{00000000-0005-0000-0000-0000AC000000}"/>
    <cellStyle name="貨幣[0]_BRE" xfId="132" xr:uid="{00000000-0005-0000-0000-0000AD000000}"/>
    <cellStyle name="貨幣_00Q3902REV.1" xfId="133" xr:uid="{00000000-0005-0000-0000-0000AE000000}"/>
    <cellStyle name="非表示" xfId="134" xr:uid="{00000000-0005-0000-0000-0000AF000000}"/>
  </cellStyles>
  <dxfs count="0"/>
  <tableStyles count="0" defaultTableStyle="TableStyleMedium2" defaultPivotStyle="PivotStyleLight16"/>
  <colors>
    <mruColors>
      <color rgb="FFFFFFCC"/>
      <color rgb="FF0000FF"/>
      <color rgb="FF305496"/>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Charts!$AA$22</c:f>
              <c:strCache>
                <c:ptCount val="1"/>
                <c:pt idx="0">
                  <c:v>Revenue from operations</c:v>
                </c:pt>
              </c:strCache>
            </c:strRef>
          </c:tx>
          <c:spPr>
            <a:solidFill>
              <a:schemeClr val="bg2"/>
            </a:solidFill>
            <a:ln w="25400">
              <a:noFill/>
            </a:ln>
            <a:effectLst/>
          </c:spPr>
          <c:invertIfNegative val="0"/>
          <c:cat>
            <c:strRef>
              <c:f>Charts!$AB$21:$AU$21</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Charts!$AB$22:$AU$22</c:f>
              <c:numCache>
                <c:formatCode>#,##0</c:formatCode>
                <c:ptCount val="20"/>
                <c:pt idx="0">
                  <c:v>219471</c:v>
                </c:pt>
                <c:pt idx="1">
                  <c:v>230187</c:v>
                </c:pt>
                <c:pt idx="2">
                  <c:v>232903</c:v>
                </c:pt>
                <c:pt idx="3">
                  <c:v>250604</c:v>
                </c:pt>
                <c:pt idx="4">
                  <c:v>265178</c:v>
                </c:pt>
                <c:pt idx="5">
                  <c:v>257473</c:v>
                </c:pt>
                <c:pt idx="6">
                  <c:v>268536</c:v>
                </c:pt>
                <c:pt idx="7">
                  <c:v>283264</c:v>
                </c:pt>
                <c:pt idx="8">
                  <c:v>298666</c:v>
                </c:pt>
                <c:pt idx="9">
                  <c:v>315003</c:v>
                </c:pt>
                <c:pt idx="10">
                  <c:v>328046</c:v>
                </c:pt>
                <c:pt idx="11">
                  <c:v>345268</c:v>
                </c:pt>
                <c:pt idx="12">
                  <c:v>358044</c:v>
                </c:pt>
                <c:pt idx="13">
                  <c:v>360090</c:v>
                </c:pt>
                <c:pt idx="14">
                  <c:v>374400</c:v>
                </c:pt>
                <c:pt idx="15">
                  <c:v>370438</c:v>
                </c:pt>
                <c:pt idx="16">
                  <c:v>378995</c:v>
                </c:pt>
                <c:pt idx="17">
                  <c:v>375991</c:v>
                </c:pt>
                <c:pt idx="18">
                  <c:v>385064</c:v>
                </c:pt>
                <c:pt idx="19">
                  <c:v>414733</c:v>
                </c:pt>
              </c:numCache>
            </c:numRef>
          </c:val>
          <c:extLst>
            <c:ext xmlns:c16="http://schemas.microsoft.com/office/drawing/2014/chart" uri="{C3380CC4-5D6E-409C-BE32-E72D297353CC}">
              <c16:uniqueId val="{00000000-FE94-4D0A-9B4C-C2D1C9A74295}"/>
            </c:ext>
          </c:extLst>
        </c:ser>
        <c:dLbls>
          <c:showLegendKey val="0"/>
          <c:showVal val="0"/>
          <c:showCatName val="0"/>
          <c:showSerName val="0"/>
          <c:showPercent val="0"/>
          <c:showBubbleSize val="0"/>
        </c:dLbls>
        <c:gapWidth val="219"/>
        <c:overlap val="-27"/>
        <c:axId val="1778457968"/>
        <c:axId val="1778464624"/>
      </c:barChart>
      <c:lineChart>
        <c:grouping val="standard"/>
        <c:varyColors val="0"/>
        <c:ser>
          <c:idx val="1"/>
          <c:order val="1"/>
          <c:tx>
            <c:strRef>
              <c:f>Charts!$AA$23</c:f>
              <c:strCache>
                <c:ptCount val="1"/>
                <c:pt idx="0">
                  <c:v>Group Total Revenue Growth YoY</c:v>
                </c:pt>
              </c:strCache>
            </c:strRef>
          </c:tx>
          <c:spPr>
            <a:ln w="28575" cap="rnd">
              <a:solidFill>
                <a:schemeClr val="tx2"/>
              </a:solidFill>
              <a:round/>
            </a:ln>
            <a:effectLst/>
          </c:spPr>
          <c:marker>
            <c:symbol val="none"/>
          </c:marker>
          <c:cat>
            <c:strRef>
              <c:f>Charts!$AB$21:$AU$21</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Charts!$AB$23:$AU$23</c:f>
              <c:numCache>
                <c:formatCode>0%</c:formatCode>
                <c:ptCount val="20"/>
                <c:pt idx="0">
                  <c:v>9.9514252214438326E-2</c:v>
                </c:pt>
                <c:pt idx="1">
                  <c:v>0.15402676116339409</c:v>
                </c:pt>
                <c:pt idx="2">
                  <c:v>0.12668630217664179</c:v>
                </c:pt>
                <c:pt idx="3">
                  <c:v>0.17159885361697369</c:v>
                </c:pt>
                <c:pt idx="4">
                  <c:v>0.19035244146138197</c:v>
                </c:pt>
                <c:pt idx="5">
                  <c:v>8.3592927407345252E-2</c:v>
                </c:pt>
                <c:pt idx="6">
                  <c:v>0.14206417740634203</c:v>
                </c:pt>
                <c:pt idx="7">
                  <c:v>0.13001844695134879</c:v>
                </c:pt>
                <c:pt idx="8">
                  <c:v>0.1316181729212933</c:v>
                </c:pt>
                <c:pt idx="9">
                  <c:v>0.22018579835338858</c:v>
                </c:pt>
                <c:pt idx="10">
                  <c:v>0.21924074580429664</c:v>
                </c:pt>
                <c:pt idx="11">
                  <c:v>0.2213277909070448</c:v>
                </c:pt>
                <c:pt idx="12">
                  <c:v>0.19951968653226326</c:v>
                </c:pt>
                <c:pt idx="13">
                  <c:v>0.15149640374505458</c:v>
                </c:pt>
                <c:pt idx="14">
                  <c:v>0.14521105076855934</c:v>
                </c:pt>
                <c:pt idx="15">
                  <c:v>7.6176188570260317E-2</c:v>
                </c:pt>
                <c:pt idx="16">
                  <c:v>6.3149575730686136E-2</c:v>
                </c:pt>
                <c:pt idx="17">
                  <c:v>4.4693460884611458E-2</c:v>
                </c:pt>
                <c:pt idx="18">
                  <c:v>2.8622615994897904E-2</c:v>
                </c:pt>
                <c:pt idx="19">
                  <c:v>0.11649212558395905</c:v>
                </c:pt>
              </c:numCache>
            </c:numRef>
          </c:val>
          <c:smooth val="0"/>
          <c:extLst>
            <c:ext xmlns:c16="http://schemas.microsoft.com/office/drawing/2014/chart" uri="{C3380CC4-5D6E-409C-BE32-E72D297353CC}">
              <c16:uniqueId val="{00000001-FE94-4D0A-9B4C-C2D1C9A74295}"/>
            </c:ext>
          </c:extLst>
        </c:ser>
        <c:dLbls>
          <c:showLegendKey val="0"/>
          <c:showVal val="0"/>
          <c:showCatName val="0"/>
          <c:showSerName val="0"/>
          <c:showPercent val="0"/>
          <c:showBubbleSize val="0"/>
        </c:dLbls>
        <c:marker val="1"/>
        <c:smooth val="0"/>
        <c:axId val="1778457136"/>
        <c:axId val="1778463792"/>
      </c:lineChart>
      <c:catAx>
        <c:axId val="1778457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Trebuchet MS"/>
              </a:defRPr>
            </a:pPr>
            <a:endParaRPr lang="en-US"/>
          </a:p>
        </c:txPr>
        <c:crossAx val="1778464624"/>
        <c:crosses val="autoZero"/>
        <c:auto val="1"/>
        <c:lblAlgn val="ctr"/>
        <c:lblOffset val="100"/>
        <c:noMultiLvlLbl val="0"/>
      </c:catAx>
      <c:valAx>
        <c:axId val="1778464624"/>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Trebuchet MS"/>
              </a:defRPr>
            </a:pPr>
            <a:endParaRPr lang="en-US"/>
          </a:p>
        </c:txPr>
        <c:crossAx val="1778457968"/>
        <c:crosses val="autoZero"/>
        <c:crossBetween val="between"/>
      </c:valAx>
      <c:valAx>
        <c:axId val="1778463792"/>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Trebuchet MS"/>
              </a:defRPr>
            </a:pPr>
            <a:endParaRPr lang="en-US"/>
          </a:p>
        </c:txPr>
        <c:crossAx val="1778457136"/>
        <c:crosses val="max"/>
        <c:crossBetween val="between"/>
      </c:valAx>
      <c:catAx>
        <c:axId val="1778457136"/>
        <c:scaling>
          <c:orientation val="minMax"/>
        </c:scaling>
        <c:delete val="1"/>
        <c:axPos val="b"/>
        <c:numFmt formatCode="General" sourceLinked="1"/>
        <c:majorTickMark val="out"/>
        <c:minorTickMark val="none"/>
        <c:tickLblPos val="nextTo"/>
        <c:crossAx val="1778463792"/>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Charts!$AA$29</c:f>
              <c:strCache>
                <c:ptCount val="1"/>
                <c:pt idx="0">
                  <c:v>Group Total Revenue Growth QoQ</c:v>
                </c:pt>
              </c:strCache>
            </c:strRef>
          </c:tx>
          <c:spPr>
            <a:ln w="25400" cap="rnd">
              <a:solidFill>
                <a:srgbClr val="333399"/>
              </a:solidFill>
              <a:prstDash val="solid"/>
              <a:round/>
            </a:ln>
            <a:effectLst/>
          </c:spPr>
          <c:marker>
            <c:symbol val="none"/>
          </c:marker>
          <c:cat>
            <c:strRef>
              <c:f>Charts!$AB$28:$AU$28</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Charts!$AB$29:$AU$29</c:f>
              <c:numCache>
                <c:formatCode>0%</c:formatCode>
                <c:ptCount val="20"/>
                <c:pt idx="0">
                  <c:v>3.9142560492413159E-2</c:v>
                </c:pt>
                <c:pt idx="1">
                  <c:v>6.8100149650963671E-2</c:v>
                </c:pt>
                <c:pt idx="2">
                  <c:v>-5.9392586823835414E-3</c:v>
                </c:pt>
                <c:pt idx="3">
                  <c:v>6.1888474239926605E-2</c:v>
                </c:pt>
                <c:pt idx="4">
                  <c:v>5.5775942499313613E-2</c:v>
                </c:pt>
                <c:pt idx="5">
                  <c:v>-2.7694884631309535E-2</c:v>
                </c:pt>
                <c:pt idx="6">
                  <c:v>4.7700786993108757E-2</c:v>
                </c:pt>
                <c:pt idx="7">
                  <c:v>5.0688383573386897E-2</c:v>
                </c:pt>
                <c:pt idx="8">
                  <c:v>5.7270566058969186E-2</c:v>
                </c:pt>
                <c:pt idx="9">
                  <c:v>4.8403889075529616E-2</c:v>
                </c:pt>
                <c:pt idx="10">
                  <c:v>4.6889326721427427E-2</c:v>
                </c:pt>
                <c:pt idx="11">
                  <c:v>5.2486907821364559E-2</c:v>
                </c:pt>
                <c:pt idx="12">
                  <c:v>3.8391877611312797E-2</c:v>
                </c:pt>
                <c:pt idx="13">
                  <c:v>6.4305917586378047E-3</c:v>
                </c:pt>
                <c:pt idx="14">
                  <c:v>4.1174963285841359E-2</c:v>
                </c:pt>
                <c:pt idx="15">
                  <c:v>-1.0958418346419418E-2</c:v>
                </c:pt>
                <c:pt idx="16">
                  <c:v>2.5822626303706908E-2</c:v>
                </c:pt>
                <c:pt idx="17">
                  <c:v>-1.1040890157097305E-2</c:v>
                </c:pt>
                <c:pt idx="18">
                  <c:v>2.5158244540563368E-2</c:v>
                </c:pt>
                <c:pt idx="19">
                  <c:v>7.3529903601501356E-2</c:v>
                </c:pt>
              </c:numCache>
            </c:numRef>
          </c:val>
          <c:smooth val="0"/>
          <c:extLst>
            <c:ext xmlns:c16="http://schemas.microsoft.com/office/drawing/2014/chart" uri="{C3380CC4-5D6E-409C-BE32-E72D297353CC}">
              <c16:uniqueId val="{00000000-D965-40A8-9436-7ED67DF18824}"/>
            </c:ext>
          </c:extLst>
        </c:ser>
        <c:dLbls>
          <c:showLegendKey val="0"/>
          <c:showVal val="0"/>
          <c:showCatName val="0"/>
          <c:showSerName val="0"/>
          <c:showPercent val="0"/>
          <c:showBubbleSize val="0"/>
        </c:dLbls>
        <c:smooth val="0"/>
        <c:axId val="1778415536"/>
        <c:axId val="1778413872"/>
      </c:lineChart>
      <c:catAx>
        <c:axId val="177841553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13872"/>
        <c:crosses val="autoZero"/>
        <c:auto val="1"/>
        <c:lblAlgn val="ctr"/>
        <c:lblOffset val="100"/>
        <c:noMultiLvlLbl val="0"/>
      </c:catAx>
      <c:valAx>
        <c:axId val="177841387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1553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1-E91B-49F5-9A9E-231803D06D86}"/>
              </c:ext>
            </c:extLst>
          </c:dPt>
          <c:dPt>
            <c:idx val="1"/>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3-E91B-49F5-9A9E-231803D06D86}"/>
              </c:ext>
            </c:extLst>
          </c:dPt>
          <c:dPt>
            <c:idx val="2"/>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5-E91B-49F5-9A9E-231803D06D86}"/>
              </c:ext>
            </c:extLst>
          </c:dPt>
          <c:dPt>
            <c:idx val="3"/>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07-E91B-49F5-9A9E-231803D06D86}"/>
              </c:ext>
            </c:extLst>
          </c:dPt>
          <c:dPt>
            <c:idx val="4"/>
            <c:bubble3D val="0"/>
            <c:spPr>
              <a:pattFill prst="wdDnDiag">
                <a:fgClr>
                  <a:srgbClr val="969696"/>
                </a:fgClr>
                <a:bgClr>
                  <a:srgbClr val="969696"/>
                </a:bgClr>
              </a:pattFill>
              <a:ln w="25400">
                <a:noFill/>
              </a:ln>
              <a:effectLst/>
            </c:spPr>
            <c:extLst>
              <c:ext xmlns:c16="http://schemas.microsoft.com/office/drawing/2014/chart" uri="{C3380CC4-5D6E-409C-BE32-E72D297353CC}">
                <c16:uniqueId val="{00000009-E91B-49F5-9A9E-231803D06D86}"/>
              </c:ext>
            </c:extLst>
          </c:dPt>
          <c:dPt>
            <c:idx val="5"/>
            <c:bubble3D val="0"/>
            <c:spPr>
              <a:pattFill prst="wdDnDiag">
                <a:fgClr>
                  <a:srgbClr val="C0C0C0"/>
                </a:fgClr>
                <a:bgClr>
                  <a:srgbClr val="C0C0C0"/>
                </a:bgClr>
              </a:pattFill>
              <a:ln w="25400">
                <a:noFill/>
              </a:ln>
              <a:effectLst/>
            </c:spPr>
            <c:extLst>
              <c:ext xmlns:c16="http://schemas.microsoft.com/office/drawing/2014/chart" uri="{C3380CC4-5D6E-409C-BE32-E72D297353CC}">
                <c16:uniqueId val="{0000000B-E91B-49F5-9A9E-231803D06D86}"/>
              </c:ext>
            </c:extLst>
          </c:dPt>
          <c:dPt>
            <c:idx val="6"/>
            <c:bubble3D val="0"/>
            <c:spPr>
              <a:pattFill prst="wdDnDiag">
                <a:fgClr>
                  <a:srgbClr val="0000FF"/>
                </a:fgClr>
                <a:bgClr>
                  <a:srgbClr val="0000FF"/>
                </a:bgClr>
              </a:pattFill>
              <a:ln w="25400">
                <a:noFill/>
              </a:ln>
              <a:effectLst/>
            </c:spPr>
            <c:extLst>
              <c:ext xmlns:c16="http://schemas.microsoft.com/office/drawing/2014/chart" uri="{C3380CC4-5D6E-409C-BE32-E72D297353CC}">
                <c16:uniqueId val="{0000000D-E91B-49F5-9A9E-231803D06D86}"/>
              </c:ext>
            </c:extLst>
          </c:dPt>
          <c:cat>
            <c:strRef>
              <c:f>Charts!$AA$44:$AA$50</c:f>
              <c:strCache>
                <c:ptCount val="7"/>
                <c:pt idx="0">
                  <c:v>Domestic Mobile</c:v>
                </c:pt>
                <c:pt idx="1">
                  <c:v>Homes Services</c:v>
                </c:pt>
                <c:pt idx="2">
                  <c:v>Digital TV</c:v>
                </c:pt>
                <c:pt idx="3">
                  <c:v>Airtel Enterprise</c:v>
                </c:pt>
                <c:pt idx="4">
                  <c:v>Tower Infratructure</c:v>
                </c:pt>
                <c:pt idx="5">
                  <c:v>South Asia</c:v>
                </c:pt>
                <c:pt idx="6">
                  <c:v>Africa</c:v>
                </c:pt>
              </c:strCache>
            </c:strRef>
          </c:cat>
          <c:val>
            <c:numRef>
              <c:f>Charts!$AB$44:$AB$50</c:f>
              <c:numCache>
                <c:formatCode>#,##0</c:formatCode>
                <c:ptCount val="7"/>
                <c:pt idx="0">
                  <c:v>248371</c:v>
                </c:pt>
                <c:pt idx="1">
                  <c:v>14321</c:v>
                </c:pt>
                <c:pt idx="2">
                  <c:v>7586</c:v>
                </c:pt>
                <c:pt idx="3">
                  <c:v>56555</c:v>
                </c:pt>
                <c:pt idx="4">
                  <c:v>0</c:v>
                </c:pt>
                <c:pt idx="5">
                  <c:v>0</c:v>
                </c:pt>
                <c:pt idx="6">
                  <c:v>101631.1571631609</c:v>
                </c:pt>
              </c:numCache>
            </c:numRef>
          </c:val>
          <c:extLst>
            <c:ext xmlns:c16="http://schemas.microsoft.com/office/drawing/2014/chart" uri="{C3380CC4-5D6E-409C-BE32-E72D297353CC}">
              <c16:uniqueId val="{00000000-9316-4EDB-8073-F251B1C6408F}"/>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1-A99A-4CE2-A947-00BAC0E0A834}"/>
              </c:ext>
            </c:extLst>
          </c:dPt>
          <c:dPt>
            <c:idx val="1"/>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3-A99A-4CE2-A947-00BAC0E0A834}"/>
              </c:ext>
            </c:extLst>
          </c:dPt>
          <c:dPt>
            <c:idx val="2"/>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5-A99A-4CE2-A947-00BAC0E0A834}"/>
              </c:ext>
            </c:extLst>
          </c:dPt>
          <c:dPt>
            <c:idx val="3"/>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07-A99A-4CE2-A947-00BAC0E0A834}"/>
              </c:ext>
            </c:extLst>
          </c:dPt>
          <c:dPt>
            <c:idx val="4"/>
            <c:bubble3D val="0"/>
            <c:spPr>
              <a:pattFill prst="wdDnDiag">
                <a:fgClr>
                  <a:srgbClr val="969696"/>
                </a:fgClr>
                <a:bgClr>
                  <a:srgbClr val="969696"/>
                </a:bgClr>
              </a:pattFill>
              <a:ln w="25400">
                <a:noFill/>
              </a:ln>
              <a:effectLst/>
            </c:spPr>
            <c:extLst>
              <c:ext xmlns:c16="http://schemas.microsoft.com/office/drawing/2014/chart" uri="{C3380CC4-5D6E-409C-BE32-E72D297353CC}">
                <c16:uniqueId val="{00000009-A99A-4CE2-A947-00BAC0E0A834}"/>
              </c:ext>
            </c:extLst>
          </c:dPt>
          <c:dPt>
            <c:idx val="5"/>
            <c:bubble3D val="0"/>
            <c:spPr>
              <a:pattFill prst="wdDnDiag">
                <a:fgClr>
                  <a:srgbClr val="C0C0C0"/>
                </a:fgClr>
                <a:bgClr>
                  <a:srgbClr val="C0C0C0"/>
                </a:bgClr>
              </a:pattFill>
              <a:ln w="25400">
                <a:noFill/>
              </a:ln>
              <a:effectLst/>
            </c:spPr>
            <c:extLst>
              <c:ext xmlns:c16="http://schemas.microsoft.com/office/drawing/2014/chart" uri="{C3380CC4-5D6E-409C-BE32-E72D297353CC}">
                <c16:uniqueId val="{0000000B-A99A-4CE2-A947-00BAC0E0A834}"/>
              </c:ext>
            </c:extLst>
          </c:dPt>
          <c:dPt>
            <c:idx val="6"/>
            <c:bubble3D val="0"/>
            <c:spPr>
              <a:pattFill prst="wdDnDiag">
                <a:fgClr>
                  <a:srgbClr val="0000FF"/>
                </a:fgClr>
                <a:bgClr>
                  <a:srgbClr val="0000FF"/>
                </a:bgClr>
              </a:pattFill>
              <a:ln w="25400">
                <a:noFill/>
              </a:ln>
              <a:effectLst/>
            </c:spPr>
            <c:extLst>
              <c:ext xmlns:c16="http://schemas.microsoft.com/office/drawing/2014/chart" uri="{C3380CC4-5D6E-409C-BE32-E72D297353CC}">
                <c16:uniqueId val="{0000000D-A99A-4CE2-A947-00BAC0E0A834}"/>
              </c:ext>
            </c:extLst>
          </c:dPt>
          <c:cat>
            <c:strRef>
              <c:f>Charts!$AH$44:$AH$50</c:f>
              <c:strCache>
                <c:ptCount val="7"/>
                <c:pt idx="0">
                  <c:v>Domestic Mobile EBITDA</c:v>
                </c:pt>
                <c:pt idx="1">
                  <c:v>Homes Services EBITDA</c:v>
                </c:pt>
                <c:pt idx="2">
                  <c:v>Digital TV EBITDA</c:v>
                </c:pt>
                <c:pt idx="3">
                  <c:v>Airtel Enterprise EBITDA</c:v>
                </c:pt>
                <c:pt idx="4">
                  <c:v>Tower Infratructure EBITDA</c:v>
                </c:pt>
                <c:pt idx="5">
                  <c:v>South Asia EBITDA</c:v>
                </c:pt>
                <c:pt idx="6">
                  <c:v>Africa EBITDA</c:v>
                </c:pt>
              </c:strCache>
            </c:strRef>
          </c:cat>
          <c:val>
            <c:numRef>
              <c:f>Charts!$AI$44:$AI$50</c:f>
              <c:numCache>
                <c:formatCode>#,##0</c:formatCode>
                <c:ptCount val="7"/>
                <c:pt idx="0">
                  <c:v>141710</c:v>
                </c:pt>
                <c:pt idx="1">
                  <c:v>7203</c:v>
                </c:pt>
                <c:pt idx="2">
                  <c:v>4243</c:v>
                </c:pt>
                <c:pt idx="3">
                  <c:v>20208</c:v>
                </c:pt>
                <c:pt idx="4">
                  <c:v>0</c:v>
                </c:pt>
                <c:pt idx="5">
                  <c:v>0</c:v>
                </c:pt>
                <c:pt idx="6">
                  <c:v>47258.500766475518</c:v>
                </c:pt>
              </c:numCache>
            </c:numRef>
          </c:val>
          <c:extLst>
            <c:ext xmlns:c16="http://schemas.microsoft.com/office/drawing/2014/chart" uri="{C3380CC4-5D6E-409C-BE32-E72D297353CC}">
              <c16:uniqueId val="{00000000-4532-4B17-B3AC-FC9F345F89ED}"/>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Charts!$AA$63</c:f>
              <c:strCache>
                <c:ptCount val="1"/>
                <c:pt idx="0">
                  <c:v>Total EBITDA</c:v>
                </c:pt>
              </c:strCache>
            </c:strRef>
          </c:tx>
          <c:spPr>
            <a:solidFill>
              <a:schemeClr val="accent5">
                <a:lumMod val="75000"/>
              </a:schemeClr>
            </a:solidFill>
            <a:ln w="25400">
              <a:noFill/>
            </a:ln>
            <a:effectLst/>
          </c:spPr>
          <c:invertIfNegative val="0"/>
          <c:cat>
            <c:strRef>
              <c:f>Charts!$AB$62:$AU$62</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Charts!$AB$63:$AU$63</c:f>
              <c:numCache>
                <c:formatCode>#,##0</c:formatCode>
                <c:ptCount val="20"/>
                <c:pt idx="0">
                  <c:v>93500.971654773908</c:v>
                </c:pt>
                <c:pt idx="1">
                  <c:v>97612</c:v>
                </c:pt>
                <c:pt idx="2">
                  <c:v>101185.56047363298</c:v>
                </c:pt>
                <c:pt idx="3">
                  <c:v>112593.25666681012</c:v>
                </c:pt>
                <c:pt idx="4">
                  <c:v>121777.18285955691</c:v>
                </c:pt>
                <c:pt idx="5">
                  <c:v>125831</c:v>
                </c:pt>
                <c:pt idx="6">
                  <c:v>131894</c:v>
                </c:pt>
                <c:pt idx="7">
                  <c:v>140177</c:v>
                </c:pt>
                <c:pt idx="8">
                  <c:v>149047</c:v>
                </c:pt>
                <c:pt idx="9">
                  <c:v>159984</c:v>
                </c:pt>
                <c:pt idx="10">
                  <c:v>166044.05917511089</c:v>
                </c:pt>
                <c:pt idx="11">
                  <c:v>177212</c:v>
                </c:pt>
                <c:pt idx="12">
                  <c:v>186007.48791346012</c:v>
                </c:pt>
                <c:pt idx="13">
                  <c:v>188067</c:v>
                </c:pt>
                <c:pt idx="14">
                  <c:v>197461</c:v>
                </c:pt>
                <c:pt idx="15">
                  <c:v>196649.56576009793</c:v>
                </c:pt>
                <c:pt idx="16">
                  <c:v>200442.63899788403</c:v>
                </c:pt>
                <c:pt idx="17">
                  <c:v>195904.96373130448</c:v>
                </c:pt>
                <c:pt idx="18">
                  <c:v>199442</c:v>
                </c:pt>
                <c:pt idx="19">
                  <c:v>220209</c:v>
                </c:pt>
              </c:numCache>
            </c:numRef>
          </c:val>
          <c:extLst>
            <c:ext xmlns:c16="http://schemas.microsoft.com/office/drawing/2014/chart" uri="{C3380CC4-5D6E-409C-BE32-E72D297353CC}">
              <c16:uniqueId val="{00000000-2950-4A46-B58B-F7C2A4B75B30}"/>
            </c:ext>
          </c:extLst>
        </c:ser>
        <c:dLbls>
          <c:showLegendKey val="0"/>
          <c:showVal val="0"/>
          <c:showCatName val="0"/>
          <c:showSerName val="0"/>
          <c:showPercent val="0"/>
          <c:showBubbleSize val="0"/>
        </c:dLbls>
        <c:gapWidth val="219"/>
        <c:overlap val="-27"/>
        <c:axId val="1265836656"/>
        <c:axId val="1265845392"/>
      </c:barChart>
      <c:lineChart>
        <c:grouping val="standard"/>
        <c:varyColors val="0"/>
        <c:ser>
          <c:idx val="1"/>
          <c:order val="1"/>
          <c:tx>
            <c:strRef>
              <c:f>Charts!$AA$64</c:f>
              <c:strCache>
                <c:ptCount val="1"/>
                <c:pt idx="0">
                  <c:v>Consolidated EBITDA growth (YoY)</c:v>
                </c:pt>
              </c:strCache>
            </c:strRef>
          </c:tx>
          <c:spPr>
            <a:ln w="28575" cap="rnd">
              <a:solidFill>
                <a:schemeClr val="accent2"/>
              </a:solidFill>
              <a:round/>
            </a:ln>
            <a:effectLst/>
          </c:spPr>
          <c:marker>
            <c:symbol val="none"/>
          </c:marker>
          <c:cat>
            <c:strRef>
              <c:f>Charts!$AB$62:$AU$62</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Charts!$AB$64:$AU$64</c:f>
              <c:numCache>
                <c:formatCode>0%</c:formatCode>
                <c:ptCount val="20"/>
                <c:pt idx="0">
                  <c:v>0.48251869626558075</c:v>
                </c:pt>
                <c:pt idx="1">
                  <c:v>0.43412082745651159</c:v>
                </c:pt>
                <c:pt idx="2">
                  <c:v>0.19145562576399433</c:v>
                </c:pt>
                <c:pt idx="3">
                  <c:v>0.25995385860826214</c:v>
                </c:pt>
                <c:pt idx="4">
                  <c:v>0.30241622845573168</c:v>
                </c:pt>
                <c:pt idx="5">
                  <c:v>0.28909355407122073</c:v>
                </c:pt>
                <c:pt idx="6">
                  <c:v>0.30348638069133438</c:v>
                </c:pt>
                <c:pt idx="7">
                  <c:v>0.24498574914496563</c:v>
                </c:pt>
                <c:pt idx="8">
                  <c:v>0.22393207413816429</c:v>
                </c:pt>
                <c:pt idx="9">
                  <c:v>0.27141960248269514</c:v>
                </c:pt>
                <c:pt idx="10">
                  <c:v>0.25892049050836952</c:v>
                </c:pt>
                <c:pt idx="11">
                  <c:v>0.26420168786605513</c:v>
                </c:pt>
                <c:pt idx="12">
                  <c:v>0.24797874437902223</c:v>
                </c:pt>
                <c:pt idx="13">
                  <c:v>0.17553630363036299</c:v>
                </c:pt>
                <c:pt idx="14">
                  <c:v>0.18920846057946972</c:v>
                </c:pt>
                <c:pt idx="15">
                  <c:v>0.10968538112598436</c:v>
                </c:pt>
                <c:pt idx="16">
                  <c:v>7.7605214963925917E-2</c:v>
                </c:pt>
                <c:pt idx="17">
                  <c:v>4.1676443667971963E-2</c:v>
                </c:pt>
                <c:pt idx="18">
                  <c:v>1.0032360820617647E-2</c:v>
                </c:pt>
                <c:pt idx="19">
                  <c:v>0.11980415084487572</c:v>
                </c:pt>
              </c:numCache>
            </c:numRef>
          </c:val>
          <c:smooth val="0"/>
          <c:extLst>
            <c:ext xmlns:c16="http://schemas.microsoft.com/office/drawing/2014/chart" uri="{C3380CC4-5D6E-409C-BE32-E72D297353CC}">
              <c16:uniqueId val="{00000001-2950-4A46-B58B-F7C2A4B75B30}"/>
            </c:ext>
          </c:extLst>
        </c:ser>
        <c:dLbls>
          <c:showLegendKey val="0"/>
          <c:showVal val="0"/>
          <c:showCatName val="0"/>
          <c:showSerName val="0"/>
          <c:showPercent val="0"/>
          <c:showBubbleSize val="0"/>
        </c:dLbls>
        <c:marker val="1"/>
        <c:smooth val="0"/>
        <c:axId val="1265860368"/>
        <c:axId val="1265851216"/>
      </c:lineChart>
      <c:catAx>
        <c:axId val="1265836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65845392"/>
        <c:crosses val="autoZero"/>
        <c:auto val="1"/>
        <c:lblAlgn val="ctr"/>
        <c:lblOffset val="100"/>
        <c:noMultiLvlLbl val="0"/>
      </c:catAx>
      <c:valAx>
        <c:axId val="126584539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65836656"/>
        <c:crosses val="autoZero"/>
        <c:crossBetween val="between"/>
      </c:valAx>
      <c:valAx>
        <c:axId val="1265851216"/>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65860368"/>
        <c:crosses val="max"/>
        <c:crossBetween val="between"/>
      </c:valAx>
      <c:catAx>
        <c:axId val="1265860368"/>
        <c:scaling>
          <c:orientation val="minMax"/>
        </c:scaling>
        <c:delete val="1"/>
        <c:axPos val="b"/>
        <c:numFmt formatCode="General" sourceLinked="1"/>
        <c:majorTickMark val="out"/>
        <c:minorTickMark val="none"/>
        <c:tickLblPos val="nextTo"/>
        <c:crossAx val="1265851216"/>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Charts!$AA$69</c:f>
              <c:strCache>
                <c:ptCount val="1"/>
                <c:pt idx="0">
                  <c:v>Consolidated EBITDA margin</c:v>
                </c:pt>
              </c:strCache>
            </c:strRef>
          </c:tx>
          <c:spPr>
            <a:ln w="25400" cap="rnd">
              <a:solidFill>
                <a:srgbClr val="333399"/>
              </a:solidFill>
              <a:prstDash val="solid"/>
              <a:round/>
            </a:ln>
            <a:effectLst/>
          </c:spPr>
          <c:marker>
            <c:symbol val="none"/>
          </c:marker>
          <c:cat>
            <c:strRef>
              <c:f>Charts!$AB$68:$AU$68</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Charts!$AB$69:$AU$69</c:f>
              <c:numCache>
                <c:formatCode>0%</c:formatCode>
                <c:ptCount val="20"/>
                <c:pt idx="0">
                  <c:v>0.42602882228072914</c:v>
                </c:pt>
                <c:pt idx="1">
                  <c:v>0.42405522466516354</c:v>
                </c:pt>
                <c:pt idx="2">
                  <c:v>0.43445365870612651</c:v>
                </c:pt>
                <c:pt idx="3">
                  <c:v>0.44928754795138992</c:v>
                </c:pt>
                <c:pt idx="4">
                  <c:v>0.45922807646017733</c:v>
                </c:pt>
                <c:pt idx="5">
                  <c:v>0.48871532160653741</c:v>
                </c:pt>
                <c:pt idx="6">
                  <c:v>0.49115947210057498</c:v>
                </c:pt>
                <c:pt idx="7">
                  <c:v>0.49486344893809309</c:v>
                </c:pt>
                <c:pt idx="8">
                  <c:v>0.49904240857680487</c:v>
                </c:pt>
                <c:pt idx="9">
                  <c:v>0.50788087732497789</c:v>
                </c:pt>
                <c:pt idx="10">
                  <c:v>0.50616090174887329</c:v>
                </c:pt>
                <c:pt idx="11">
                  <c:v>0.51325926526640175</c:v>
                </c:pt>
                <c:pt idx="12">
                  <c:v>0.51951013817704006</c:v>
                </c:pt>
                <c:pt idx="13">
                  <c:v>0.52227776389236025</c:v>
                </c:pt>
                <c:pt idx="14">
                  <c:v>0.52740651709401709</c:v>
                </c:pt>
                <c:pt idx="15">
                  <c:v>0.5308568930835873</c:v>
                </c:pt>
                <c:pt idx="16">
                  <c:v>0.52887937571177468</c:v>
                </c:pt>
                <c:pt idx="17">
                  <c:v>0.52103631132475103</c:v>
                </c:pt>
                <c:pt idx="18">
                  <c:v>0.51794506887166814</c:v>
                </c:pt>
                <c:pt idx="19">
                  <c:v>0.53096570564676548</c:v>
                </c:pt>
              </c:numCache>
            </c:numRef>
          </c:val>
          <c:smooth val="0"/>
          <c:extLst>
            <c:ext xmlns:c16="http://schemas.microsoft.com/office/drawing/2014/chart" uri="{C3380CC4-5D6E-409C-BE32-E72D297353CC}">
              <c16:uniqueId val="{00000000-20FD-4487-9A21-1CFB39FE49FC}"/>
            </c:ext>
          </c:extLst>
        </c:ser>
        <c:dLbls>
          <c:showLegendKey val="0"/>
          <c:showVal val="0"/>
          <c:showCatName val="0"/>
          <c:showSerName val="0"/>
          <c:showPercent val="0"/>
          <c:showBubbleSize val="0"/>
        </c:dLbls>
        <c:smooth val="0"/>
        <c:axId val="1340825376"/>
        <c:axId val="1340837024"/>
      </c:lineChart>
      <c:catAx>
        <c:axId val="134082537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340837024"/>
        <c:crosses val="autoZero"/>
        <c:auto val="1"/>
        <c:lblAlgn val="ctr"/>
        <c:lblOffset val="100"/>
        <c:noMultiLvlLbl val="0"/>
      </c:catAx>
      <c:valAx>
        <c:axId val="1340837024"/>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34082537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Charts!$AA$85</c:f>
              <c:strCache>
                <c:ptCount val="1"/>
                <c:pt idx="0">
                  <c:v>Depreciation and amortisation</c:v>
                </c:pt>
              </c:strCache>
            </c:strRef>
          </c:tx>
          <c:spPr>
            <a:solidFill>
              <a:srgbClr val="000080"/>
            </a:solidFill>
            <a:ln w="25400">
              <a:noFill/>
            </a:ln>
            <a:effectLst/>
          </c:spPr>
          <c:invertIfNegative val="0"/>
          <c:cat>
            <c:strRef>
              <c:f>Charts!$AB$84:$AU$84</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Charts!$AB$85:$AU$85</c:f>
              <c:numCache>
                <c:formatCode>#,##0</c:formatCode>
                <c:ptCount val="20"/>
                <c:pt idx="0">
                  <c:v>69408</c:v>
                </c:pt>
                <c:pt idx="1">
                  <c:v>68615</c:v>
                </c:pt>
                <c:pt idx="2">
                  <c:v>71131.729533999998</c:v>
                </c:pt>
                <c:pt idx="3">
                  <c:v>72862.270466000002</c:v>
                </c:pt>
                <c:pt idx="4">
                  <c:v>75030.999999999985</c:v>
                </c:pt>
                <c:pt idx="5">
                  <c:v>75019.149871999965</c:v>
                </c:pt>
                <c:pt idx="6">
                  <c:v>77137</c:v>
                </c:pt>
                <c:pt idx="7">
                  <c:v>82472</c:v>
                </c:pt>
                <c:pt idx="8">
                  <c:v>85472</c:v>
                </c:pt>
                <c:pt idx="9">
                  <c:v>85826</c:v>
                </c:pt>
                <c:pt idx="10">
                  <c:v>87814</c:v>
                </c:pt>
                <c:pt idx="11">
                  <c:v>89468</c:v>
                </c:pt>
                <c:pt idx="12">
                  <c:v>92977</c:v>
                </c:pt>
                <c:pt idx="13">
                  <c:v>94059</c:v>
                </c:pt>
                <c:pt idx="14">
                  <c:v>96538</c:v>
                </c:pt>
                <c:pt idx="15">
                  <c:v>97343</c:v>
                </c:pt>
                <c:pt idx="16">
                  <c:v>100743</c:v>
                </c:pt>
                <c:pt idx="17">
                  <c:v>100752</c:v>
                </c:pt>
                <c:pt idx="18">
                  <c:v>105401</c:v>
                </c:pt>
                <c:pt idx="19">
                  <c:v>110000</c:v>
                </c:pt>
              </c:numCache>
            </c:numRef>
          </c:val>
          <c:extLst>
            <c:ext xmlns:c16="http://schemas.microsoft.com/office/drawing/2014/chart" uri="{C3380CC4-5D6E-409C-BE32-E72D297353CC}">
              <c16:uniqueId val="{00000000-9200-41FD-AFDD-28F92B3784F5}"/>
            </c:ext>
          </c:extLst>
        </c:ser>
        <c:dLbls>
          <c:showLegendKey val="0"/>
          <c:showVal val="0"/>
          <c:showCatName val="0"/>
          <c:showSerName val="0"/>
          <c:showPercent val="0"/>
          <c:showBubbleSize val="0"/>
        </c:dLbls>
        <c:gapWidth val="219"/>
        <c:overlap val="-27"/>
        <c:axId val="1265839984"/>
        <c:axId val="1265837072"/>
      </c:barChart>
      <c:catAx>
        <c:axId val="1265839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65837072"/>
        <c:crosses val="autoZero"/>
        <c:auto val="1"/>
        <c:lblAlgn val="ctr"/>
        <c:lblOffset val="100"/>
        <c:noMultiLvlLbl val="0"/>
      </c:catAx>
      <c:valAx>
        <c:axId val="126583707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65839984"/>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Charts!$AA$91</c:f>
              <c:strCache>
                <c:ptCount val="1"/>
                <c:pt idx="0">
                  <c:v>Equity holders of the parent</c:v>
                </c:pt>
              </c:strCache>
            </c:strRef>
          </c:tx>
          <c:spPr>
            <a:solidFill>
              <a:schemeClr val="accent5">
                <a:lumMod val="75000"/>
              </a:schemeClr>
            </a:solidFill>
            <a:ln w="25400">
              <a:noFill/>
            </a:ln>
            <a:effectLst/>
          </c:spPr>
          <c:invertIfNegative val="0"/>
          <c:cat>
            <c:strRef>
              <c:f>Charts!$AB$90:$AU$90</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Charts!$AB$91:$AU$91</c:f>
              <c:numCache>
                <c:formatCode>#,##0</c:formatCode>
                <c:ptCount val="20"/>
                <c:pt idx="0">
                  <c:v>-11422.5</c:v>
                </c:pt>
                <c:pt idx="1">
                  <c:v>-52370</c:v>
                </c:pt>
                <c:pt idx="2">
                  <c:v>-159330.89035286458</c:v>
                </c:pt>
                <c:pt idx="3">
                  <c:v>-7632.1096471354249</c:v>
                </c:pt>
                <c:pt idx="4">
                  <c:v>8536</c:v>
                </c:pt>
                <c:pt idx="5">
                  <c:v>7591.85012800002</c:v>
                </c:pt>
                <c:pt idx="6">
                  <c:v>2835</c:v>
                </c:pt>
                <c:pt idx="7">
                  <c:v>11340</c:v>
                </c:pt>
                <c:pt idx="8">
                  <c:v>8296</c:v>
                </c:pt>
                <c:pt idx="9">
                  <c:v>20078</c:v>
                </c:pt>
                <c:pt idx="10">
                  <c:v>16069</c:v>
                </c:pt>
                <c:pt idx="11">
                  <c:v>21452</c:v>
                </c:pt>
                <c:pt idx="12">
                  <c:v>15882</c:v>
                </c:pt>
                <c:pt idx="13">
                  <c:v>30056</c:v>
                </c:pt>
                <c:pt idx="14">
                  <c:v>16125</c:v>
                </c:pt>
                <c:pt idx="15">
                  <c:v>13407</c:v>
                </c:pt>
                <c:pt idx="16">
                  <c:v>24422</c:v>
                </c:pt>
                <c:pt idx="17">
                  <c:v>20716</c:v>
                </c:pt>
                <c:pt idx="18">
                  <c:v>41599</c:v>
                </c:pt>
                <c:pt idx="19">
                  <c:v>35932</c:v>
                </c:pt>
              </c:numCache>
            </c:numRef>
          </c:val>
          <c:extLst>
            <c:ext xmlns:c16="http://schemas.microsoft.com/office/drawing/2014/chart" uri="{C3380CC4-5D6E-409C-BE32-E72D297353CC}">
              <c16:uniqueId val="{00000000-779A-4244-8600-4B9049B3A6D8}"/>
            </c:ext>
          </c:extLst>
        </c:ser>
        <c:dLbls>
          <c:showLegendKey val="0"/>
          <c:showVal val="0"/>
          <c:showCatName val="0"/>
          <c:showSerName val="0"/>
          <c:showPercent val="0"/>
          <c:showBubbleSize val="0"/>
        </c:dLbls>
        <c:gapWidth val="219"/>
        <c:overlap val="-27"/>
        <c:axId val="838314704"/>
        <c:axId val="838330096"/>
      </c:barChart>
      <c:lineChart>
        <c:grouping val="standard"/>
        <c:varyColors val="0"/>
        <c:ser>
          <c:idx val="1"/>
          <c:order val="1"/>
          <c:tx>
            <c:strRef>
              <c:f>Charts!$AA$92</c:f>
              <c:strCache>
                <c:ptCount val="1"/>
                <c:pt idx="0">
                  <c:v>Net income growth (% YoY)</c:v>
                </c:pt>
              </c:strCache>
            </c:strRef>
          </c:tx>
          <c:spPr>
            <a:ln w="28575" cap="rnd">
              <a:solidFill>
                <a:schemeClr val="accent2"/>
              </a:solidFill>
              <a:round/>
            </a:ln>
            <a:effectLst/>
          </c:spPr>
          <c:marker>
            <c:symbol val="none"/>
          </c:marker>
          <c:cat>
            <c:strRef>
              <c:f>Charts!$AB$90:$AU$90</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Charts!$AB$92:$AU$92</c:f>
              <c:numCache>
                <c:formatCode>0%</c:formatCode>
                <c:ptCount val="20"/>
                <c:pt idx="0">
                  <c:v>-14.251160092807424</c:v>
                </c:pt>
                <c:pt idx="1">
                  <c:v>-49.852611940298509</c:v>
                </c:pt>
                <c:pt idx="2">
                  <c:v>4.2051907988521586</c:v>
                </c:pt>
                <c:pt idx="3">
                  <c:v>-0.96671996839865948</c:v>
                </c:pt>
                <c:pt idx="4">
                  <c:v>-1.7472970015320639</c:v>
                </c:pt>
                <c:pt idx="5">
                  <c:v>-1.1449656316211576</c:v>
                </c:pt>
                <c:pt idx="6">
                  <c:v>-1.0177931598431504</c:v>
                </c:pt>
                <c:pt idx="7">
                  <c:v>-2.4858277100691635</c:v>
                </c:pt>
                <c:pt idx="8">
                  <c:v>-2.8116213683224034E-2</c:v>
                </c:pt>
                <c:pt idx="9">
                  <c:v>1.6446781300316982</c:v>
                </c:pt>
                <c:pt idx="10">
                  <c:v>4.6680776014109346</c:v>
                </c:pt>
                <c:pt idx="11">
                  <c:v>0.89171075837742508</c:v>
                </c:pt>
                <c:pt idx="12">
                  <c:v>0.91441658630665379</c:v>
                </c:pt>
                <c:pt idx="13">
                  <c:v>0.49696184878972005</c:v>
                </c:pt>
                <c:pt idx="14">
                  <c:v>3.4849710622939511E-3</c:v>
                </c:pt>
                <c:pt idx="15">
                  <c:v>-0.37502330785008386</c:v>
                </c:pt>
                <c:pt idx="16">
                  <c:v>0.53771565294043566</c:v>
                </c:pt>
                <c:pt idx="17">
                  <c:v>-0.31075326058025021</c:v>
                </c:pt>
                <c:pt idx="18">
                  <c:v>1.5797829457364343</c:v>
                </c:pt>
                <c:pt idx="19">
                  <c:v>1.6800924889982847</c:v>
                </c:pt>
              </c:numCache>
            </c:numRef>
          </c:val>
          <c:smooth val="0"/>
          <c:extLst>
            <c:ext xmlns:c16="http://schemas.microsoft.com/office/drawing/2014/chart" uri="{C3380CC4-5D6E-409C-BE32-E72D297353CC}">
              <c16:uniqueId val="{00000001-779A-4244-8600-4B9049B3A6D8}"/>
            </c:ext>
          </c:extLst>
        </c:ser>
        <c:dLbls>
          <c:showLegendKey val="0"/>
          <c:showVal val="0"/>
          <c:showCatName val="0"/>
          <c:showSerName val="0"/>
          <c:showPercent val="0"/>
          <c:showBubbleSize val="0"/>
        </c:dLbls>
        <c:marker val="1"/>
        <c:smooth val="0"/>
        <c:axId val="838313456"/>
        <c:axId val="838323440"/>
      </c:lineChart>
      <c:catAx>
        <c:axId val="83831470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8330096"/>
        <c:crosses val="autoZero"/>
        <c:auto val="1"/>
        <c:lblAlgn val="ctr"/>
        <c:lblOffset val="100"/>
        <c:noMultiLvlLbl val="0"/>
      </c:catAx>
      <c:valAx>
        <c:axId val="838330096"/>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8314704"/>
        <c:crosses val="autoZero"/>
        <c:crossBetween val="between"/>
      </c:valAx>
      <c:valAx>
        <c:axId val="8383234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8313456"/>
        <c:crosses val="max"/>
        <c:crossBetween val="between"/>
      </c:valAx>
      <c:catAx>
        <c:axId val="838313456"/>
        <c:scaling>
          <c:orientation val="minMax"/>
        </c:scaling>
        <c:delete val="1"/>
        <c:axPos val="b"/>
        <c:numFmt formatCode="General" sourceLinked="1"/>
        <c:majorTickMark val="out"/>
        <c:minorTickMark val="none"/>
        <c:tickLblPos val="nextTo"/>
        <c:crossAx val="838323440"/>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Charts!$AA$106</c:f>
              <c:strCache>
                <c:ptCount val="1"/>
                <c:pt idx="0">
                  <c:v>Mobile Service Revenue Growth YoY</c:v>
                </c:pt>
              </c:strCache>
            </c:strRef>
          </c:tx>
          <c:spPr>
            <a:ln w="25400" cap="rnd">
              <a:solidFill>
                <a:srgbClr val="333399"/>
              </a:solidFill>
              <a:prstDash val="solid"/>
              <a:round/>
            </a:ln>
            <a:effectLst/>
          </c:spPr>
          <c:marker>
            <c:symbol val="none"/>
          </c:marker>
          <c:cat>
            <c:strRef>
              <c:f>Charts!$AB$105:$AU$105</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Charts!$AB$106:$AU$106</c:f>
              <c:numCache>
                <c:formatCode>0%</c:formatCode>
                <c:ptCount val="20"/>
                <c:pt idx="0">
                  <c:v>0.13366244646480729</c:v>
                </c:pt>
                <c:pt idx="1">
                  <c:v>0.23513874320587402</c:v>
                </c:pt>
                <c:pt idx="2">
                  <c:v>0.20077234694606472</c:v>
                </c:pt>
                <c:pt idx="3">
                  <c:v>0.27933609640392865</c:v>
                </c:pt>
                <c:pt idx="4">
                  <c:v>0.29674472830271603</c:v>
                </c:pt>
                <c:pt idx="5">
                  <c:v>8.698846223625667E-2</c:v>
                </c:pt>
                <c:pt idx="6">
                  <c:v>0.11093004917470184</c:v>
                </c:pt>
                <c:pt idx="7">
                  <c:v>9.8285227393652752E-2</c:v>
                </c:pt>
                <c:pt idx="8">
                  <c:v>8.3796129054534152E-2</c:v>
                </c:pt>
                <c:pt idx="9">
                  <c:v>0.2447896776328915</c:v>
                </c:pt>
                <c:pt idx="10">
                  <c:v>0.26806805935719247</c:v>
                </c:pt>
                <c:pt idx="11">
                  <c:v>0.2429571774944379</c:v>
                </c:pt>
                <c:pt idx="12">
                  <c:v>0.20823196391933352</c:v>
                </c:pt>
                <c:pt idx="13">
                  <c:v>0.11543010302502776</c:v>
                </c:pt>
                <c:pt idx="14">
                  <c:v>0.12414367534175796</c:v>
                </c:pt>
                <c:pt idx="15">
                  <c:v>0.10961792352200739</c:v>
                </c:pt>
                <c:pt idx="16">
                  <c:v>0.11811833071773159</c:v>
                </c:pt>
                <c:pt idx="17">
                  <c:v>0.12872201826789098</c:v>
                </c:pt>
                <c:pt idx="18">
                  <c:v>0.10469543567206374</c:v>
                </c:pt>
                <c:pt idx="19">
                  <c:v>0.1854232938193987</c:v>
                </c:pt>
              </c:numCache>
            </c:numRef>
          </c:val>
          <c:smooth val="0"/>
          <c:extLst>
            <c:ext xmlns:c16="http://schemas.microsoft.com/office/drawing/2014/chart" uri="{C3380CC4-5D6E-409C-BE32-E72D297353CC}">
              <c16:uniqueId val="{00000000-E378-4F97-B38C-E3BE2FD890EA}"/>
            </c:ext>
          </c:extLst>
        </c:ser>
        <c:dLbls>
          <c:showLegendKey val="0"/>
          <c:showVal val="0"/>
          <c:showCatName val="0"/>
          <c:showSerName val="0"/>
          <c:showPercent val="0"/>
          <c:showBubbleSize val="0"/>
        </c:dLbls>
        <c:smooth val="0"/>
        <c:axId val="1265869936"/>
        <c:axId val="1265861200"/>
      </c:lineChart>
      <c:catAx>
        <c:axId val="126586993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65861200"/>
        <c:crosses val="autoZero"/>
        <c:auto val="1"/>
        <c:lblAlgn val="ctr"/>
        <c:lblOffset val="100"/>
        <c:noMultiLvlLbl val="0"/>
      </c:catAx>
      <c:valAx>
        <c:axId val="126586120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6586993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Charts!$AA$112</c:f>
              <c:strCache>
                <c:ptCount val="1"/>
                <c:pt idx="0">
                  <c:v>-Mobile Service Revenues</c:v>
                </c:pt>
              </c:strCache>
            </c:strRef>
          </c:tx>
          <c:spPr>
            <a:solidFill>
              <a:srgbClr val="000080"/>
            </a:solidFill>
            <a:ln w="25400">
              <a:noFill/>
            </a:ln>
            <a:effectLst/>
          </c:spPr>
          <c:invertIfNegative val="0"/>
          <c:cat>
            <c:strRef>
              <c:f>Charts!$AB$111:$AU$111</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Charts!$AB$112:$AU$112</c:f>
              <c:numCache>
                <c:formatCode>#,##0</c:formatCode>
                <c:ptCount val="20"/>
                <c:pt idx="0">
                  <c:v>113969.35306800001</c:v>
                </c:pt>
                <c:pt idx="1">
                  <c:v>129529</c:v>
                </c:pt>
                <c:pt idx="2">
                  <c:v>128771.034046</c:v>
                </c:pt>
                <c:pt idx="3">
                  <c:v>138319.26007099997</c:v>
                </c:pt>
                <c:pt idx="4">
                  <c:v>147789.157779</c:v>
                </c:pt>
                <c:pt idx="5">
                  <c:v>140796.52852500009</c:v>
                </c:pt>
                <c:pt idx="6">
                  <c:v>143055.61118499999</c:v>
                </c:pt>
                <c:pt idx="7">
                  <c:v>151914</c:v>
                </c:pt>
                <c:pt idx="8">
                  <c:v>160173.31711710998</c:v>
                </c:pt>
                <c:pt idx="9">
                  <c:v>175262.06535446507</c:v>
                </c:pt>
                <c:pt idx="10">
                  <c:v>181404.25125552001</c:v>
                </c:pt>
                <c:pt idx="11">
                  <c:v>188822.59666189004</c:v>
                </c:pt>
                <c:pt idx="12">
                  <c:v>193526.52150788001</c:v>
                </c:pt>
                <c:pt idx="13">
                  <c:v>195492.58361471014</c:v>
                </c:pt>
                <c:pt idx="14">
                  <c:v>203924.44172899998</c:v>
                </c:pt>
                <c:pt idx="15">
                  <c:v>209520.93762199997</c:v>
                </c:pt>
                <c:pt idx="16">
                  <c:v>216385.55117799997</c:v>
                </c:pt>
                <c:pt idx="17">
                  <c:v>220656.78353400007</c:v>
                </c:pt>
                <c:pt idx="18">
                  <c:v>225274.4</c:v>
                </c:pt>
                <c:pt idx="19">
                  <c:v>248371</c:v>
                </c:pt>
              </c:numCache>
            </c:numRef>
          </c:val>
          <c:extLst>
            <c:ext xmlns:c16="http://schemas.microsoft.com/office/drawing/2014/chart" uri="{C3380CC4-5D6E-409C-BE32-E72D297353CC}">
              <c16:uniqueId val="{00000000-9157-4F56-9D45-CD82F1216D2C}"/>
            </c:ext>
          </c:extLst>
        </c:ser>
        <c:dLbls>
          <c:showLegendKey val="0"/>
          <c:showVal val="0"/>
          <c:showCatName val="0"/>
          <c:showSerName val="0"/>
          <c:showPercent val="0"/>
          <c:showBubbleSize val="0"/>
        </c:dLbls>
        <c:gapWidth val="219"/>
        <c:overlap val="-27"/>
        <c:axId val="1780554496"/>
        <c:axId val="1780641856"/>
      </c:barChart>
      <c:catAx>
        <c:axId val="1780554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80641856"/>
        <c:crosses val="autoZero"/>
        <c:auto val="1"/>
        <c:lblAlgn val="ctr"/>
        <c:lblOffset val="100"/>
        <c:noMultiLvlLbl val="0"/>
      </c:catAx>
      <c:valAx>
        <c:axId val="1780641856"/>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8055449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Charts!$AA$126</c:f>
              <c:strCache>
                <c:ptCount val="1"/>
                <c:pt idx="0">
                  <c:v>Mobile Service Revenue Growth QoQ</c:v>
                </c:pt>
              </c:strCache>
            </c:strRef>
          </c:tx>
          <c:spPr>
            <a:ln w="25400" cap="rnd">
              <a:solidFill>
                <a:srgbClr val="333399"/>
              </a:solidFill>
              <a:prstDash val="solid"/>
              <a:round/>
            </a:ln>
            <a:effectLst/>
          </c:spPr>
          <c:marker>
            <c:symbol val="none"/>
          </c:marker>
          <c:cat>
            <c:strRef>
              <c:f>Charts!$AB$125:$AU$125</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Charts!$AB$126:$AU$126</c:f>
              <c:numCache>
                <c:formatCode>0%</c:formatCode>
                <c:ptCount val="20"/>
                <c:pt idx="0">
                  <c:v>5.4120063893153825E-2</c:v>
                </c:pt>
                <c:pt idx="1">
                  <c:v>0.13652483332704635</c:v>
                </c:pt>
                <c:pt idx="2">
                  <c:v>-5.85170852859207E-3</c:v>
                </c:pt>
                <c:pt idx="3">
                  <c:v>7.4148865043586643E-2</c:v>
                </c:pt>
                <c:pt idx="4">
                  <c:v>6.846405701663727E-2</c:v>
                </c:pt>
                <c:pt idx="5">
                  <c:v>-4.7314900220600142E-2</c:v>
                </c:pt>
                <c:pt idx="6">
                  <c:v>1.6045016760471986E-2</c:v>
                </c:pt>
                <c:pt idx="7">
                  <c:v>6.1922693850465782E-2</c:v>
                </c:pt>
                <c:pt idx="8">
                  <c:v>5.4368373666087377E-2</c:v>
                </c:pt>
                <c:pt idx="9">
                  <c:v>9.4202633178427808E-2</c:v>
                </c:pt>
                <c:pt idx="10">
                  <c:v>3.5045723606146328E-2</c:v>
                </c:pt>
                <c:pt idx="11">
                  <c:v>4.0893999754839205E-2</c:v>
                </c:pt>
                <c:pt idx="12">
                  <c:v>2.4911874580418658E-2</c:v>
                </c:pt>
                <c:pt idx="13">
                  <c:v>1.0159135251909479E-2</c:v>
                </c:pt>
                <c:pt idx="14">
                  <c:v>4.3131345232553242E-2</c:v>
                </c:pt>
                <c:pt idx="15">
                  <c:v>2.7443968195030255E-2</c:v>
                </c:pt>
                <c:pt idx="16">
                  <c:v>3.276337741665003E-2</c:v>
                </c:pt>
                <c:pt idx="17">
                  <c:v>1.9738990578380022E-2</c:v>
                </c:pt>
                <c:pt idx="18">
                  <c:v>2.0926691634152395E-2</c:v>
                </c:pt>
                <c:pt idx="19">
                  <c:v>0.10252651876999797</c:v>
                </c:pt>
              </c:numCache>
            </c:numRef>
          </c:val>
          <c:smooth val="0"/>
          <c:extLst>
            <c:ext xmlns:c16="http://schemas.microsoft.com/office/drawing/2014/chart" uri="{C3380CC4-5D6E-409C-BE32-E72D297353CC}">
              <c16:uniqueId val="{00000000-B95C-473E-B9DE-2B265B234ADA}"/>
            </c:ext>
          </c:extLst>
        </c:ser>
        <c:dLbls>
          <c:showLegendKey val="0"/>
          <c:showVal val="0"/>
          <c:showCatName val="0"/>
          <c:showSerName val="0"/>
          <c:showPercent val="0"/>
          <c:showBubbleSize val="0"/>
        </c:dLbls>
        <c:smooth val="0"/>
        <c:axId val="838290992"/>
        <c:axId val="838283920"/>
      </c:lineChart>
      <c:catAx>
        <c:axId val="83829099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8283920"/>
        <c:crosses val="autoZero"/>
        <c:auto val="1"/>
        <c:lblAlgn val="ctr"/>
        <c:lblOffset val="100"/>
        <c:noMultiLvlLbl val="0"/>
      </c:catAx>
      <c:valAx>
        <c:axId val="83828392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8290992"/>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spPr>
            <a:ln w="28575" cap="rnd">
              <a:solidFill>
                <a:srgbClr val="263238"/>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'Revenue, EBITDA, capex breakout'!$AL$50:$AW$50</c:f>
              <c:strCache>
                <c:ptCount val="12"/>
                <c:pt idx="0">
                  <c:v>1Q21</c:v>
                </c:pt>
                <c:pt idx="1">
                  <c:v>2Q21</c:v>
                </c:pt>
                <c:pt idx="2">
                  <c:v>3Q21</c:v>
                </c:pt>
                <c:pt idx="3">
                  <c:v>4Q21</c:v>
                </c:pt>
                <c:pt idx="4">
                  <c:v>1Q22</c:v>
                </c:pt>
                <c:pt idx="5">
                  <c:v>2Q22</c:v>
                </c:pt>
                <c:pt idx="6">
                  <c:v>3Q22</c:v>
                </c:pt>
                <c:pt idx="7">
                  <c:v>4Q22</c:v>
                </c:pt>
                <c:pt idx="8">
                  <c:v>1Q23</c:v>
                </c:pt>
                <c:pt idx="9">
                  <c:v>2Q23</c:v>
                </c:pt>
                <c:pt idx="10">
                  <c:v>3Q23</c:v>
                </c:pt>
                <c:pt idx="11">
                  <c:v>4Q23</c:v>
                </c:pt>
              </c:strCache>
            </c:strRef>
          </c:cat>
          <c:val>
            <c:numRef>
              <c:f>'Revenue, EBITDA, capex breakout'!$AL$53:$AW$53</c:f>
              <c:numCache>
                <c:formatCode>0.0%</c:formatCode>
                <c:ptCount val="12"/>
                <c:pt idx="0">
                  <c:v>0.12307900028450325</c:v>
                </c:pt>
                <c:pt idx="1">
                  <c:v>0.18593744824028802</c:v>
                </c:pt>
                <c:pt idx="2">
                  <c:v>0.2082598612117319</c:v>
                </c:pt>
                <c:pt idx="3">
                  <c:v>0.11853840573099261</c:v>
                </c:pt>
                <c:pt idx="4">
                  <c:v>0.15299502367938578</c:v>
                </c:pt>
                <c:pt idx="5">
                  <c:v>0.13032513447510818</c:v>
                </c:pt>
                <c:pt idx="6">
                  <c:v>0.12628498593397652</c:v>
                </c:pt>
                <c:pt idx="7">
                  <c:v>0.22344090448318843</c:v>
                </c:pt>
                <c:pt idx="8">
                  <c:v>0.22160902076444122</c:v>
                </c:pt>
                <c:pt idx="9">
                  <c:v>0.21889121102575682</c:v>
                </c:pt>
                <c:pt idx="10">
                  <c:v>0.19881071163105268</c:v>
                </c:pt>
                <c:pt idx="11">
                  <c:v>0.14313197017171264</c:v>
                </c:pt>
              </c:numCache>
            </c:numRef>
          </c:val>
          <c:smooth val="0"/>
          <c:extLst>
            <c:ext xmlns:c16="http://schemas.microsoft.com/office/drawing/2014/chart" uri="{C3380CC4-5D6E-409C-BE32-E72D297353CC}">
              <c16:uniqueId val="{00000001-57B5-4865-8EA9-E2D53FF1EBBD}"/>
            </c:ext>
          </c:extLst>
        </c:ser>
        <c:dLbls>
          <c:dLblPos val="t"/>
          <c:showLegendKey val="0"/>
          <c:showVal val="1"/>
          <c:showCatName val="0"/>
          <c:showSerName val="0"/>
          <c:showPercent val="0"/>
          <c:showBubbleSize val="0"/>
        </c:dLbls>
        <c:smooth val="0"/>
        <c:axId val="1495160607"/>
        <c:axId val="1495161855"/>
        <c:extLst/>
      </c:lineChart>
      <c:catAx>
        <c:axId val="1495160607"/>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Charts!$AA$132</c:f>
              <c:strCache>
                <c:ptCount val="1"/>
                <c:pt idx="0">
                  <c:v>Subscribers ('000)</c:v>
                </c:pt>
              </c:strCache>
            </c:strRef>
          </c:tx>
          <c:spPr>
            <a:solidFill>
              <a:srgbClr val="000080"/>
            </a:solidFill>
            <a:ln w="25400">
              <a:noFill/>
            </a:ln>
            <a:effectLst/>
          </c:spPr>
          <c:invertIfNegative val="0"/>
          <c:cat>
            <c:strRef>
              <c:f>Charts!$AB$131:$AU$131</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Charts!$AB$132:$AU$132</c:f>
              <c:numCache>
                <c:formatCode>#,##0</c:formatCode>
                <c:ptCount val="20"/>
                <c:pt idx="0">
                  <c:v>283036.25299999997</c:v>
                </c:pt>
                <c:pt idx="1">
                  <c:v>283667.18400000001</c:v>
                </c:pt>
                <c:pt idx="2">
                  <c:v>279869</c:v>
                </c:pt>
                <c:pt idx="3">
                  <c:v>293742.21999999997</c:v>
                </c:pt>
                <c:pt idx="4">
                  <c:v>307948</c:v>
                </c:pt>
                <c:pt idx="5">
                  <c:v>321373.51</c:v>
                </c:pt>
                <c:pt idx="6">
                  <c:v>321238.12300000002</c:v>
                </c:pt>
                <c:pt idx="7">
                  <c:v>323476</c:v>
                </c:pt>
                <c:pt idx="8">
                  <c:v>322917.59299999999</c:v>
                </c:pt>
                <c:pt idx="9">
                  <c:v>326043</c:v>
                </c:pt>
                <c:pt idx="10">
                  <c:v>327307.74</c:v>
                </c:pt>
                <c:pt idx="11">
                  <c:v>327797.96000000002</c:v>
                </c:pt>
                <c:pt idx="12">
                  <c:v>332243.62</c:v>
                </c:pt>
                <c:pt idx="13">
                  <c:v>335412.28200000006</c:v>
                </c:pt>
                <c:pt idx="14">
                  <c:v>338562.38500000001</c:v>
                </c:pt>
                <c:pt idx="15">
                  <c:v>342305.36200000002</c:v>
                </c:pt>
                <c:pt idx="16">
                  <c:v>345570.20600000006</c:v>
                </c:pt>
                <c:pt idx="17">
                  <c:v>352252.81199999998</c:v>
                </c:pt>
                <c:pt idx="18">
                  <c:v>354515.14</c:v>
                </c:pt>
                <c:pt idx="19">
                  <c:v>351640.24400000006</c:v>
                </c:pt>
              </c:numCache>
            </c:numRef>
          </c:val>
          <c:extLst>
            <c:ext xmlns:c16="http://schemas.microsoft.com/office/drawing/2014/chart" uri="{C3380CC4-5D6E-409C-BE32-E72D297353CC}">
              <c16:uniqueId val="{00000000-4645-4521-860D-7F136FC8026A}"/>
            </c:ext>
          </c:extLst>
        </c:ser>
        <c:dLbls>
          <c:showLegendKey val="0"/>
          <c:showVal val="0"/>
          <c:showCatName val="0"/>
          <c:showSerName val="0"/>
          <c:showPercent val="0"/>
          <c:showBubbleSize val="0"/>
        </c:dLbls>
        <c:gapWidth val="219"/>
        <c:overlap val="-27"/>
        <c:axId val="1340852000"/>
        <c:axId val="1340849920"/>
      </c:barChart>
      <c:catAx>
        <c:axId val="1340852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340849920"/>
        <c:crosses val="autoZero"/>
        <c:auto val="1"/>
        <c:lblAlgn val="ctr"/>
        <c:lblOffset val="100"/>
        <c:noMultiLvlLbl val="0"/>
      </c:catAx>
      <c:valAx>
        <c:axId val="134084992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340852000"/>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Charts!$AA$146</c:f>
              <c:strCache>
                <c:ptCount val="1"/>
                <c:pt idx="0">
                  <c:v>Implied 2G subs</c:v>
                </c:pt>
              </c:strCache>
            </c:strRef>
          </c:tx>
          <c:spPr>
            <a:solidFill>
              <a:srgbClr val="000080"/>
            </a:solidFill>
            <a:ln w="25400">
              <a:noFill/>
            </a:ln>
            <a:effectLst/>
          </c:spPr>
          <c:invertIfNegative val="0"/>
          <c:cat>
            <c:strRef>
              <c:f>Charts!$AB$145:$AU$145</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Charts!$AB$146:$AU$146</c:f>
              <c:numCache>
                <c:formatCode>#,##0</c:formatCode>
                <c:ptCount val="20"/>
                <c:pt idx="0">
                  <c:v>14649.999000000011</c:v>
                </c:pt>
                <c:pt idx="1">
                  <c:v>12268.960000000021</c:v>
                </c:pt>
                <c:pt idx="2">
                  <c:v>10795.404999999999</c:v>
                </c:pt>
                <c:pt idx="3">
                  <c:v>9500.7449999999953</c:v>
                </c:pt>
                <c:pt idx="4">
                  <c:v>9113.4240000000573</c:v>
                </c:pt>
                <c:pt idx="5">
                  <c:v>9342.4630000000179</c:v>
                </c:pt>
                <c:pt idx="6">
                  <c:v>8508.1070000000182</c:v>
                </c:pt>
                <c:pt idx="7">
                  <c:v>7488.5409999999683</c:v>
                </c:pt>
                <c:pt idx="8">
                  <c:v>7409.6389999999956</c:v>
                </c:pt>
                <c:pt idx="9">
                  <c:v>7662.4280000000144</c:v>
                </c:pt>
                <c:pt idx="10">
                  <c:v>7994.4059999999881</c:v>
                </c:pt>
                <c:pt idx="11">
                  <c:v>8799.4059999999881</c:v>
                </c:pt>
                <c:pt idx="12">
                  <c:v>8571.5279999999329</c:v>
                </c:pt>
                <c:pt idx="13">
                  <c:v>8553.7049999999872</c:v>
                </c:pt>
                <c:pt idx="14">
                  <c:v>8478.1759999999485</c:v>
                </c:pt>
                <c:pt idx="15">
                  <c:v>8420.5229999999283</c:v>
                </c:pt>
                <c:pt idx="16">
                  <c:v>8249.3190000000177</c:v>
                </c:pt>
                <c:pt idx="17">
                  <c:v>8098.256999999925</c:v>
                </c:pt>
                <c:pt idx="18">
                  <c:v>7700.0979999999399</c:v>
                </c:pt>
                <c:pt idx="19">
                  <c:v>7527.1869999999763</c:v>
                </c:pt>
              </c:numCache>
            </c:numRef>
          </c:val>
          <c:extLst>
            <c:ext xmlns:c16="http://schemas.microsoft.com/office/drawing/2014/chart" uri="{C3380CC4-5D6E-409C-BE32-E72D297353CC}">
              <c16:uniqueId val="{00000000-B0DC-47DD-94C0-B4C50C381A70}"/>
            </c:ext>
          </c:extLst>
        </c:ser>
        <c:ser>
          <c:idx val="1"/>
          <c:order val="1"/>
          <c:tx>
            <c:strRef>
              <c:f>Charts!$AA$147</c:f>
              <c:strCache>
                <c:ptCount val="1"/>
                <c:pt idx="0">
                  <c:v>Of which are 4G customers</c:v>
                </c:pt>
              </c:strCache>
            </c:strRef>
          </c:tx>
          <c:spPr>
            <a:solidFill>
              <a:srgbClr val="9999FF"/>
            </a:solidFill>
            <a:ln w="25400">
              <a:noFill/>
            </a:ln>
            <a:effectLst/>
          </c:spPr>
          <c:invertIfNegative val="0"/>
          <c:cat>
            <c:strRef>
              <c:f>Charts!$AB$145:$AU$145</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Charts!$AB$147:$AU$147</c:f>
              <c:numCache>
                <c:formatCode>#,##0</c:formatCode>
                <c:ptCount val="20"/>
                <c:pt idx="0">
                  <c:v>123793.11199999999</c:v>
                </c:pt>
                <c:pt idx="1">
                  <c:v>136309.40399999998</c:v>
                </c:pt>
                <c:pt idx="2">
                  <c:v>138293.84999999998</c:v>
                </c:pt>
                <c:pt idx="3">
                  <c:v>152684.641</c:v>
                </c:pt>
                <c:pt idx="4">
                  <c:v>165628.57499999998</c:v>
                </c:pt>
                <c:pt idx="5">
                  <c:v>179292.94400000002</c:v>
                </c:pt>
                <c:pt idx="6">
                  <c:v>184426.82500000001</c:v>
                </c:pt>
                <c:pt idx="7">
                  <c:v>192538.56400000001</c:v>
                </c:pt>
                <c:pt idx="8">
                  <c:v>195541</c:v>
                </c:pt>
                <c:pt idx="9">
                  <c:v>200786</c:v>
                </c:pt>
                <c:pt idx="10">
                  <c:v>205263.33100000001</c:v>
                </c:pt>
                <c:pt idx="11">
                  <c:v>210300.31199999998</c:v>
                </c:pt>
                <c:pt idx="12">
                  <c:v>216720.69300000003</c:v>
                </c:pt>
                <c:pt idx="13">
                  <c:v>224124.41700000002</c:v>
                </c:pt>
                <c:pt idx="14">
                  <c:v>229747.82800000004</c:v>
                </c:pt>
                <c:pt idx="15">
                  <c:v>237466.73900000006</c:v>
                </c:pt>
                <c:pt idx="16">
                  <c:v>244909.59700000001</c:v>
                </c:pt>
                <c:pt idx="17">
                  <c:v>252748.508</c:v>
                </c:pt>
                <c:pt idx="18">
                  <c:v>259428.94</c:v>
                </c:pt>
                <c:pt idx="19">
                  <c:v>263635.77</c:v>
                </c:pt>
              </c:numCache>
            </c:numRef>
          </c:val>
          <c:extLst>
            <c:ext xmlns:c16="http://schemas.microsoft.com/office/drawing/2014/chart" uri="{C3380CC4-5D6E-409C-BE32-E72D297353CC}">
              <c16:uniqueId val="{00000001-B0DC-47DD-94C0-B4C50C381A70}"/>
            </c:ext>
          </c:extLst>
        </c:ser>
        <c:dLbls>
          <c:showLegendKey val="0"/>
          <c:showVal val="0"/>
          <c:showCatName val="0"/>
          <c:showSerName val="0"/>
          <c:showPercent val="0"/>
          <c:showBubbleSize val="0"/>
        </c:dLbls>
        <c:gapWidth val="150"/>
        <c:overlap val="100"/>
        <c:axId val="833139072"/>
        <c:axId val="833157376"/>
      </c:barChart>
      <c:catAx>
        <c:axId val="833139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3157376"/>
        <c:crosses val="autoZero"/>
        <c:auto val="1"/>
        <c:lblAlgn val="ctr"/>
        <c:lblOffset val="100"/>
        <c:noMultiLvlLbl val="0"/>
      </c:catAx>
      <c:valAx>
        <c:axId val="833157376"/>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313907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Charts!$AA$152</c:f>
              <c:strCache>
                <c:ptCount val="1"/>
                <c:pt idx="0">
                  <c:v>3G/4G net adds</c:v>
                </c:pt>
              </c:strCache>
            </c:strRef>
          </c:tx>
          <c:spPr>
            <a:solidFill>
              <a:srgbClr val="000080"/>
            </a:solidFill>
            <a:ln w="25400">
              <a:noFill/>
            </a:ln>
            <a:effectLst/>
          </c:spPr>
          <c:invertIfNegative val="0"/>
          <c:cat>
            <c:strRef>
              <c:f>Charts!$AB$151:$AU$151</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Charts!$AB$152:$AU$152</c:f>
              <c:numCache>
                <c:formatCode>#,##0</c:formatCode>
                <c:ptCount val="20"/>
                <c:pt idx="0">
                  <c:v>20682.111999999994</c:v>
                </c:pt>
                <c:pt idx="1">
                  <c:v>12516.291999999987</c:v>
                </c:pt>
                <c:pt idx="2">
                  <c:v>1984.4459999999963</c:v>
                </c:pt>
                <c:pt idx="3">
                  <c:v>14390.791000000027</c:v>
                </c:pt>
                <c:pt idx="4">
                  <c:v>12943.933999999979</c:v>
                </c:pt>
                <c:pt idx="5">
                  <c:v>13664.369000000035</c:v>
                </c:pt>
                <c:pt idx="6">
                  <c:v>5133.8809999999939</c:v>
                </c:pt>
                <c:pt idx="7">
                  <c:v>8111.7390000000014</c:v>
                </c:pt>
                <c:pt idx="8">
                  <c:v>3002.435999999987</c:v>
                </c:pt>
                <c:pt idx="9">
                  <c:v>5245</c:v>
                </c:pt>
                <c:pt idx="10">
                  <c:v>4477.3310000000056</c:v>
                </c:pt>
                <c:pt idx="11">
                  <c:v>5036.9809999999707</c:v>
                </c:pt>
                <c:pt idx="12">
                  <c:v>6420.3810000000522</c:v>
                </c:pt>
                <c:pt idx="13">
                  <c:v>7403.7239999999874</c:v>
                </c:pt>
                <c:pt idx="14">
                  <c:v>5623.4110000000219</c:v>
                </c:pt>
                <c:pt idx="15">
                  <c:v>7718.9110000000219</c:v>
                </c:pt>
                <c:pt idx="16">
                  <c:v>7442.8579999999492</c:v>
                </c:pt>
                <c:pt idx="17">
                  <c:v>7838.9109999999928</c:v>
                </c:pt>
                <c:pt idx="18">
                  <c:v>6680.4320000000007</c:v>
                </c:pt>
                <c:pt idx="19">
                  <c:v>4206.8300000000163</c:v>
                </c:pt>
              </c:numCache>
            </c:numRef>
          </c:val>
          <c:extLst>
            <c:ext xmlns:c16="http://schemas.microsoft.com/office/drawing/2014/chart" uri="{C3380CC4-5D6E-409C-BE32-E72D297353CC}">
              <c16:uniqueId val="{00000000-6826-4671-A221-229D64332969}"/>
            </c:ext>
          </c:extLst>
        </c:ser>
        <c:ser>
          <c:idx val="1"/>
          <c:order val="1"/>
          <c:tx>
            <c:strRef>
              <c:f>Charts!$AA$153</c:f>
              <c:strCache>
                <c:ptCount val="1"/>
                <c:pt idx="0">
                  <c:v>2G data net adds</c:v>
                </c:pt>
              </c:strCache>
            </c:strRef>
          </c:tx>
          <c:spPr>
            <a:solidFill>
              <a:srgbClr val="9999FF"/>
            </a:solidFill>
            <a:ln w="25400">
              <a:noFill/>
            </a:ln>
            <a:effectLst/>
          </c:spPr>
          <c:invertIfNegative val="0"/>
          <c:cat>
            <c:strRef>
              <c:f>Charts!$AB$151:$AU$151</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Charts!$AB$153:$AU$153</c:f>
              <c:numCache>
                <c:formatCode>#,##0</c:formatCode>
                <c:ptCount val="20"/>
                <c:pt idx="0">
                  <c:v>-6481.0009999999893</c:v>
                </c:pt>
                <c:pt idx="1">
                  <c:v>-2381.0389999999898</c:v>
                </c:pt>
                <c:pt idx="2">
                  <c:v>-1473.5550000000221</c:v>
                </c:pt>
                <c:pt idx="3">
                  <c:v>-1294.6600000000035</c:v>
                </c:pt>
                <c:pt idx="4">
                  <c:v>-387.32099999993807</c:v>
                </c:pt>
                <c:pt idx="5">
                  <c:v>229.03899999996065</c:v>
                </c:pt>
                <c:pt idx="6">
                  <c:v>-834.35599999999977</c:v>
                </c:pt>
                <c:pt idx="7">
                  <c:v>-1019.5660000000498</c:v>
                </c:pt>
                <c:pt idx="8">
                  <c:v>-78.901999999972759</c:v>
                </c:pt>
                <c:pt idx="9">
                  <c:v>252.78900000001886</c:v>
                </c:pt>
                <c:pt idx="10">
                  <c:v>331.97799999997369</c:v>
                </c:pt>
                <c:pt idx="11">
                  <c:v>805</c:v>
                </c:pt>
                <c:pt idx="12">
                  <c:v>-227.87800000005518</c:v>
                </c:pt>
                <c:pt idx="13">
                  <c:v>-17.82299999994575</c:v>
                </c:pt>
                <c:pt idx="14">
                  <c:v>-75.52900000003865</c:v>
                </c:pt>
                <c:pt idx="15">
                  <c:v>-57.653000000020256</c:v>
                </c:pt>
                <c:pt idx="16">
                  <c:v>-171.20399999991059</c:v>
                </c:pt>
                <c:pt idx="17">
                  <c:v>-151.06200000009267</c:v>
                </c:pt>
                <c:pt idx="18">
                  <c:v>-398.1589999999851</c:v>
                </c:pt>
                <c:pt idx="19">
                  <c:v>-172.91099999996368</c:v>
                </c:pt>
              </c:numCache>
            </c:numRef>
          </c:val>
          <c:extLst>
            <c:ext xmlns:c16="http://schemas.microsoft.com/office/drawing/2014/chart" uri="{C3380CC4-5D6E-409C-BE32-E72D297353CC}">
              <c16:uniqueId val="{00000001-6826-4671-A221-229D64332969}"/>
            </c:ext>
          </c:extLst>
        </c:ser>
        <c:dLbls>
          <c:showLegendKey val="0"/>
          <c:showVal val="0"/>
          <c:showCatName val="0"/>
          <c:showSerName val="0"/>
          <c:showPercent val="0"/>
          <c:showBubbleSize val="0"/>
        </c:dLbls>
        <c:gapWidth val="219"/>
        <c:overlap val="100"/>
        <c:axId val="833189408"/>
        <c:axId val="833195648"/>
      </c:barChart>
      <c:catAx>
        <c:axId val="8331894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3195648"/>
        <c:crosses val="autoZero"/>
        <c:auto val="1"/>
        <c:lblAlgn val="ctr"/>
        <c:lblOffset val="100"/>
        <c:noMultiLvlLbl val="0"/>
      </c:catAx>
      <c:valAx>
        <c:axId val="83319564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3189408"/>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Charts!$AA$166</c:f>
              <c:strCache>
                <c:ptCount val="1"/>
                <c:pt idx="0">
                  <c:v>Total ARPU Growth (YoY)</c:v>
                </c:pt>
              </c:strCache>
            </c:strRef>
          </c:tx>
          <c:spPr>
            <a:ln w="25400" cap="rnd">
              <a:solidFill>
                <a:srgbClr val="333399"/>
              </a:solidFill>
              <a:prstDash val="solid"/>
              <a:round/>
            </a:ln>
            <a:effectLst/>
          </c:spPr>
          <c:marker>
            <c:symbol val="none"/>
          </c:marker>
          <c:cat>
            <c:strRef>
              <c:f>Charts!$AB$165:$AU$165</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Charts!$AB$166:$AU$166</c:f>
              <c:numCache>
                <c:formatCode>0%</c:formatCode>
                <c:ptCount val="20"/>
                <c:pt idx="0">
                  <c:v>0.29664741745024914</c:v>
                </c:pt>
                <c:pt idx="1">
                  <c:v>0.25260790722006488</c:v>
                </c:pt>
                <c:pt idx="2">
                  <c:v>0.21556909895237686</c:v>
                </c:pt>
                <c:pt idx="3">
                  <c:v>0.2671224905592926</c:v>
                </c:pt>
                <c:pt idx="4">
                  <c:v>0.23159200458944484</c:v>
                </c:pt>
                <c:pt idx="5">
                  <c:v>-5.750148509342623E-2</c:v>
                </c:pt>
                <c:pt idx="6">
                  <c:v>-6.8057343807358173E-2</c:v>
                </c:pt>
                <c:pt idx="7">
                  <c:v>-5.3991881861515378E-2</c:v>
                </c:pt>
                <c:pt idx="8">
                  <c:v>-2.1502400587133264E-2</c:v>
                </c:pt>
                <c:pt idx="9">
                  <c:v>0.22755089830039377</c:v>
                </c:pt>
                <c:pt idx="10">
                  <c:v>0.25373487186811716</c:v>
                </c:pt>
                <c:pt idx="11">
                  <c:v>0.23684393148306593</c:v>
                </c:pt>
                <c:pt idx="12">
                  <c:v>0.19035337832935029</c:v>
                </c:pt>
                <c:pt idx="13">
                  <c:v>8.4405920977747906E-2</c:v>
                </c:pt>
                <c:pt idx="14">
                  <c:v>9.0335745232388964E-2</c:v>
                </c:pt>
                <c:pt idx="15">
                  <c:v>6.8684498845557274E-2</c:v>
                </c:pt>
                <c:pt idx="16">
                  <c:v>7.4682614273999359E-2</c:v>
                </c:pt>
                <c:pt idx="17">
                  <c:v>8.0489282045592914E-2</c:v>
                </c:pt>
                <c:pt idx="18">
                  <c:v>5.4150226039353155E-2</c:v>
                </c:pt>
                <c:pt idx="19">
                  <c:v>0.14872987038833174</c:v>
                </c:pt>
              </c:numCache>
            </c:numRef>
          </c:val>
          <c:smooth val="0"/>
          <c:extLst>
            <c:ext xmlns:c16="http://schemas.microsoft.com/office/drawing/2014/chart" uri="{C3380CC4-5D6E-409C-BE32-E72D297353CC}">
              <c16:uniqueId val="{00000000-87DB-44AA-A721-F0EA9E054918}"/>
            </c:ext>
          </c:extLst>
        </c:ser>
        <c:dLbls>
          <c:showLegendKey val="0"/>
          <c:showVal val="0"/>
          <c:showCatName val="0"/>
          <c:showSerName val="0"/>
          <c:showPercent val="0"/>
          <c:showBubbleSize val="0"/>
        </c:dLbls>
        <c:smooth val="0"/>
        <c:axId val="1778475440"/>
        <c:axId val="1778460048"/>
      </c:lineChart>
      <c:catAx>
        <c:axId val="17784754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60048"/>
        <c:crosses val="autoZero"/>
        <c:auto val="1"/>
        <c:lblAlgn val="ctr"/>
        <c:lblOffset val="100"/>
        <c:noMultiLvlLbl val="0"/>
      </c:catAx>
      <c:valAx>
        <c:axId val="177846004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75440"/>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Charts!$AA$172</c:f>
              <c:strCache>
                <c:ptCount val="1"/>
                <c:pt idx="0">
                  <c:v>ARPU (INR)</c:v>
                </c:pt>
              </c:strCache>
            </c:strRef>
          </c:tx>
          <c:spPr>
            <a:solidFill>
              <a:srgbClr val="000080"/>
            </a:solidFill>
            <a:ln w="25400">
              <a:noFill/>
            </a:ln>
            <a:effectLst/>
          </c:spPr>
          <c:invertIfNegative val="0"/>
          <c:cat>
            <c:strRef>
              <c:f>Charts!$AB$171:$AU$171</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Charts!$AB$172:$AU$172</c:f>
              <c:numCache>
                <c:formatCode>#,##0</c:formatCode>
                <c:ptCount val="20"/>
                <c:pt idx="0">
                  <c:v>134.85133141482592</c:v>
                </c:pt>
                <c:pt idx="1">
                  <c:v>154.07077258806797</c:v>
                </c:pt>
                <c:pt idx="2">
                  <c:v>156.80841376485662</c:v>
                </c:pt>
                <c:pt idx="3">
                  <c:v>162.19167879158945</c:v>
                </c:pt>
                <c:pt idx="4">
                  <c:v>166.08182157874103</c:v>
                </c:pt>
                <c:pt idx="5">
                  <c:v>145.21147435476252</c:v>
                </c:pt>
                <c:pt idx="6">
                  <c:v>146.13644963737531</c:v>
                </c:pt>
                <c:pt idx="7">
                  <c:v>153.4346448313531</c:v>
                </c:pt>
                <c:pt idx="8">
                  <c:v>162.51066372091415</c:v>
                </c:pt>
                <c:pt idx="9">
                  <c:v>178.25447578771332</c:v>
                </c:pt>
                <c:pt idx="10">
                  <c:v>183.21636296137629</c:v>
                </c:pt>
                <c:pt idx="11">
                  <c:v>189.77470933891865</c:v>
                </c:pt>
                <c:pt idx="12">
                  <c:v>193.44511757473515</c:v>
                </c:pt>
                <c:pt idx="13">
                  <c:v>193.30020898498091</c:v>
                </c:pt>
                <c:pt idx="14">
                  <c:v>199.76734964826008</c:v>
                </c:pt>
                <c:pt idx="15">
                  <c:v>202.80929014342357</c:v>
                </c:pt>
                <c:pt idx="16">
                  <c:v>207.89210467375753</c:v>
                </c:pt>
                <c:pt idx="17">
                  <c:v>208.8588040254451</c:v>
                </c:pt>
                <c:pt idx="18">
                  <c:v>210.58479678699587</c:v>
                </c:pt>
                <c:pt idx="19">
                  <c:v>232.97308958000451</c:v>
                </c:pt>
              </c:numCache>
            </c:numRef>
          </c:val>
          <c:extLst>
            <c:ext xmlns:c16="http://schemas.microsoft.com/office/drawing/2014/chart" uri="{C3380CC4-5D6E-409C-BE32-E72D297353CC}">
              <c16:uniqueId val="{00000000-8079-4593-B8AE-231DFD72605A}"/>
            </c:ext>
          </c:extLst>
        </c:ser>
        <c:dLbls>
          <c:showLegendKey val="0"/>
          <c:showVal val="0"/>
          <c:showCatName val="0"/>
          <c:showSerName val="0"/>
          <c:showPercent val="0"/>
          <c:showBubbleSize val="0"/>
        </c:dLbls>
        <c:gapWidth val="219"/>
        <c:overlap val="-27"/>
        <c:axId val="1778492496"/>
        <c:axId val="1778480432"/>
      </c:barChart>
      <c:catAx>
        <c:axId val="1778492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80432"/>
        <c:crosses val="autoZero"/>
        <c:auto val="1"/>
        <c:lblAlgn val="ctr"/>
        <c:lblOffset val="100"/>
        <c:noMultiLvlLbl val="0"/>
      </c:catAx>
      <c:valAx>
        <c:axId val="177848043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9249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Charts!$AA$186</c:f>
              <c:strCache>
                <c:ptCount val="1"/>
                <c:pt idx="0">
                  <c:v>Total Traffic Growth</c:v>
                </c:pt>
              </c:strCache>
            </c:strRef>
          </c:tx>
          <c:spPr>
            <a:ln w="25400" cap="rnd">
              <a:solidFill>
                <a:srgbClr val="333399"/>
              </a:solidFill>
              <a:prstDash val="solid"/>
              <a:round/>
            </a:ln>
            <a:effectLst/>
          </c:spPr>
          <c:marker>
            <c:symbol val="none"/>
          </c:marker>
          <c:cat>
            <c:strRef>
              <c:f>Charts!$AB$185:$AU$185</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Charts!$AB$186:$AU$186</c:f>
              <c:numCache>
                <c:formatCode>0%</c:formatCode>
                <c:ptCount val="20"/>
                <c:pt idx="0">
                  <c:v>7.9694297277874915E-2</c:v>
                </c:pt>
                <c:pt idx="1">
                  <c:v>0.12406257453186398</c:v>
                </c:pt>
                <c:pt idx="2">
                  <c:v>0.11278889994460295</c:v>
                </c:pt>
                <c:pt idx="3">
                  <c:v>0.20123297266975704</c:v>
                </c:pt>
                <c:pt idx="4">
                  <c:v>0.21875758966885206</c:v>
                </c:pt>
                <c:pt idx="5">
                  <c:v>0.21279129770628846</c:v>
                </c:pt>
                <c:pt idx="6">
                  <c:v>0.22190556375147685</c:v>
                </c:pt>
                <c:pt idx="7">
                  <c:v>0.1853515465885156</c:v>
                </c:pt>
                <c:pt idx="8">
                  <c:v>0.11340673497305165</c:v>
                </c:pt>
                <c:pt idx="9">
                  <c:v>5.4497343313948399E-2</c:v>
                </c:pt>
                <c:pt idx="10">
                  <c:v>7.6524208700392338E-2</c:v>
                </c:pt>
                <c:pt idx="11">
                  <c:v>4.1743773528571282E-2</c:v>
                </c:pt>
                <c:pt idx="12">
                  <c:v>5.0638434947916533E-2</c:v>
                </c:pt>
                <c:pt idx="13">
                  <c:v>6.96663661102499E-2</c:v>
                </c:pt>
                <c:pt idx="14">
                  <c:v>6.4721423306039139E-2</c:v>
                </c:pt>
                <c:pt idx="15">
                  <c:v>7.9681874071258152E-2</c:v>
                </c:pt>
                <c:pt idx="16">
                  <c:v>7.289682838198952E-2</c:v>
                </c:pt>
                <c:pt idx="17">
                  <c:v>7.5795906825530945E-2</c:v>
                </c:pt>
                <c:pt idx="18">
                  <c:v>4.0291991350281497E-2</c:v>
                </c:pt>
                <c:pt idx="19">
                  <c:v>4.5378335444719031E-2</c:v>
                </c:pt>
              </c:numCache>
            </c:numRef>
          </c:val>
          <c:smooth val="0"/>
          <c:extLst>
            <c:ext xmlns:c16="http://schemas.microsoft.com/office/drawing/2014/chart" uri="{C3380CC4-5D6E-409C-BE32-E72D297353CC}">
              <c16:uniqueId val="{00000000-6D57-4EB2-8E34-290D64AE7D8E}"/>
            </c:ext>
          </c:extLst>
        </c:ser>
        <c:dLbls>
          <c:showLegendKey val="0"/>
          <c:showVal val="0"/>
          <c:showCatName val="0"/>
          <c:showSerName val="0"/>
          <c:showPercent val="0"/>
          <c:showBubbleSize val="0"/>
        </c:dLbls>
        <c:smooth val="0"/>
        <c:axId val="838336752"/>
        <c:axId val="838334672"/>
      </c:lineChart>
      <c:catAx>
        <c:axId val="8383367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8334672"/>
        <c:crosses val="autoZero"/>
        <c:auto val="1"/>
        <c:lblAlgn val="ctr"/>
        <c:lblOffset val="100"/>
        <c:noMultiLvlLbl val="0"/>
      </c:catAx>
      <c:valAx>
        <c:axId val="83833467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8336752"/>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Charts!$AA$192</c:f>
              <c:strCache>
                <c:ptCount val="1"/>
                <c:pt idx="0">
                  <c:v>Voice - MoU</c:v>
                </c:pt>
              </c:strCache>
            </c:strRef>
          </c:tx>
          <c:spPr>
            <a:ln w="25400" cap="rnd">
              <a:solidFill>
                <a:srgbClr val="333399"/>
              </a:solidFill>
              <a:prstDash val="solid"/>
              <a:round/>
            </a:ln>
            <a:effectLst/>
          </c:spPr>
          <c:marker>
            <c:symbol val="none"/>
          </c:marker>
          <c:cat>
            <c:strRef>
              <c:f>Charts!$AB$191:$AU$191</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Charts!$AB$192:$AU$192</c:f>
              <c:numCache>
                <c:formatCode>#,##0</c:formatCode>
                <c:ptCount val="20"/>
                <c:pt idx="0">
                  <c:v>897.94506290037737</c:v>
                </c:pt>
                <c:pt idx="1">
                  <c:v>965.01020928593778</c:v>
                </c:pt>
                <c:pt idx="2">
                  <c:v>993.71886208542912</c:v>
                </c:pt>
                <c:pt idx="3">
                  <c:v>1005</c:v>
                </c:pt>
                <c:pt idx="4">
                  <c:v>1027</c:v>
                </c:pt>
                <c:pt idx="5">
                  <c:v>1052.7979559041944</c:v>
                </c:pt>
                <c:pt idx="6">
                  <c:v>1043.9879869451122</c:v>
                </c:pt>
                <c:pt idx="7">
                  <c:v>1052.8949213927979</c:v>
                </c:pt>
                <c:pt idx="8">
                  <c:v>1060.6729294535237</c:v>
                </c:pt>
                <c:pt idx="9">
                  <c:v>1082.7037308418614</c:v>
                </c:pt>
                <c:pt idx="10">
                  <c:v>1103.8297277550466</c:v>
                </c:pt>
                <c:pt idx="11">
                  <c:v>1081.7010042667714</c:v>
                </c:pt>
                <c:pt idx="12">
                  <c:v>1093.5771820419661</c:v>
                </c:pt>
                <c:pt idx="13">
                  <c:v>1122.2647596268271</c:v>
                </c:pt>
                <c:pt idx="14">
                  <c:v>1137.8366422681299</c:v>
                </c:pt>
                <c:pt idx="15">
                  <c:v>1123.0891380330163</c:v>
                </c:pt>
                <c:pt idx="16">
                  <c:v>1126.6651060294257</c:v>
                </c:pt>
                <c:pt idx="17">
                  <c:v>1157.9182279734218</c:v>
                </c:pt>
                <c:pt idx="18">
                  <c:v>1127.8280349408053</c:v>
                </c:pt>
                <c:pt idx="19">
                  <c:v>1134.9890117921996</c:v>
                </c:pt>
              </c:numCache>
            </c:numRef>
          </c:val>
          <c:smooth val="0"/>
          <c:extLst>
            <c:ext xmlns:c16="http://schemas.microsoft.com/office/drawing/2014/chart" uri="{C3380CC4-5D6E-409C-BE32-E72D297353CC}">
              <c16:uniqueId val="{00000000-B4AE-4FF2-AB0C-65CACA5D1F4E}"/>
            </c:ext>
          </c:extLst>
        </c:ser>
        <c:dLbls>
          <c:showLegendKey val="0"/>
          <c:showVal val="0"/>
          <c:showCatName val="0"/>
          <c:showSerName val="0"/>
          <c:showPercent val="0"/>
          <c:showBubbleSize val="0"/>
        </c:dLbls>
        <c:smooth val="0"/>
        <c:axId val="1778465456"/>
        <c:axId val="1778455888"/>
      </c:lineChart>
      <c:catAx>
        <c:axId val="17784654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55888"/>
        <c:crosses val="autoZero"/>
        <c:auto val="1"/>
        <c:lblAlgn val="ctr"/>
        <c:lblOffset val="100"/>
        <c:noMultiLvlLbl val="0"/>
      </c:catAx>
      <c:valAx>
        <c:axId val="177845588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6545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Charts!$AA$206</c:f>
              <c:strCache>
                <c:ptCount val="1"/>
                <c:pt idx="0">
                  <c:v>Data - Total Traffic (mn MB)</c:v>
                </c:pt>
              </c:strCache>
            </c:strRef>
          </c:tx>
          <c:spPr>
            <a:solidFill>
              <a:srgbClr val="000080"/>
            </a:solidFill>
            <a:ln w="25400">
              <a:noFill/>
            </a:ln>
            <a:effectLst/>
          </c:spPr>
          <c:invertIfNegative val="0"/>
          <c:cat>
            <c:strRef>
              <c:f>Charts!$AB$205:$AU$205</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Charts!$AB$206:$AU$206</c:f>
              <c:numCache>
                <c:formatCode>#,##0</c:formatCode>
                <c:ptCount val="20"/>
                <c:pt idx="0">
                  <c:v>5547222.8882551901</c:v>
                </c:pt>
                <c:pt idx="1">
                  <c:v>6452825.1837578602</c:v>
                </c:pt>
                <c:pt idx="2">
                  <c:v>7239836.0369207403</c:v>
                </c:pt>
                <c:pt idx="3">
                  <c:v>7639997.0647942405</c:v>
                </c:pt>
                <c:pt idx="4">
                  <c:v>8453705.6488166004</c:v>
                </c:pt>
                <c:pt idx="5">
                  <c:v>9207030.3380598594</c:v>
                </c:pt>
                <c:pt idx="6">
                  <c:v>10771051.277578101</c:v>
                </c:pt>
                <c:pt idx="7">
                  <c:v>11270769.342128672</c:v>
                </c:pt>
                <c:pt idx="8">
                  <c:v>11311779.776500579</c:v>
                </c:pt>
                <c:pt idx="9">
                  <c:v>11849333.770498659</c:v>
                </c:pt>
                <c:pt idx="10">
                  <c:v>12266931.50566539</c:v>
                </c:pt>
                <c:pt idx="11">
                  <c:v>13169219.155505517</c:v>
                </c:pt>
                <c:pt idx="12">
                  <c:v>13528642.577369289</c:v>
                </c:pt>
                <c:pt idx="13">
                  <c:v>13914370.319263814</c:v>
                </c:pt>
                <c:pt idx="14">
                  <c:v>14915279.31744156</c:v>
                </c:pt>
                <c:pt idx="15">
                  <c:v>15748977.4837572</c:v>
                </c:pt>
                <c:pt idx="16">
                  <c:v>16376505.1282607</c:v>
                </c:pt>
                <c:pt idx="17">
                  <c:v>17390877.452120401</c:v>
                </c:pt>
                <c:pt idx="18">
                  <c:v>18788715.654047199</c:v>
                </c:pt>
                <c:pt idx="19">
                  <c:v>19311.255009836626</c:v>
                </c:pt>
              </c:numCache>
            </c:numRef>
          </c:val>
          <c:extLst>
            <c:ext xmlns:c16="http://schemas.microsoft.com/office/drawing/2014/chart" uri="{C3380CC4-5D6E-409C-BE32-E72D297353CC}">
              <c16:uniqueId val="{00000000-2788-4F21-8FE9-1FFCC34B8927}"/>
            </c:ext>
          </c:extLst>
        </c:ser>
        <c:dLbls>
          <c:showLegendKey val="0"/>
          <c:showVal val="0"/>
          <c:showCatName val="0"/>
          <c:showSerName val="0"/>
          <c:showPercent val="0"/>
          <c:showBubbleSize val="0"/>
        </c:dLbls>
        <c:gapWidth val="219"/>
        <c:overlap val="-27"/>
        <c:axId val="1778480848"/>
        <c:axId val="1778482928"/>
      </c:barChart>
      <c:catAx>
        <c:axId val="1778480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82928"/>
        <c:crosses val="autoZero"/>
        <c:auto val="1"/>
        <c:lblAlgn val="ctr"/>
        <c:lblOffset val="100"/>
        <c:noMultiLvlLbl val="0"/>
      </c:catAx>
      <c:valAx>
        <c:axId val="177848292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80848"/>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Charts!$AA$212</c:f>
              <c:strCache>
                <c:ptCount val="1"/>
                <c:pt idx="0">
                  <c:v>Data - Usage per customer (MB)</c:v>
                </c:pt>
              </c:strCache>
            </c:strRef>
          </c:tx>
          <c:spPr>
            <a:ln w="25400" cap="rnd">
              <a:solidFill>
                <a:srgbClr val="333399"/>
              </a:solidFill>
              <a:prstDash val="solid"/>
              <a:round/>
            </a:ln>
            <a:effectLst/>
          </c:spPr>
          <c:marker>
            <c:symbol val="none"/>
          </c:marker>
          <c:cat>
            <c:strRef>
              <c:f>Charts!$AB$211:$AU$211</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Charts!$AB$212:$AU$212</c:f>
              <c:numCache>
                <c:formatCode>#,##0</c:formatCode>
                <c:ptCount val="20"/>
                <c:pt idx="0">
                  <c:v>13927.658878441332</c:v>
                </c:pt>
                <c:pt idx="1">
                  <c:v>14971.575755476535</c:v>
                </c:pt>
                <c:pt idx="2">
                  <c:v>16654.578968593509</c:v>
                </c:pt>
                <c:pt idx="3">
                  <c:v>16409.301789394438</c:v>
                </c:pt>
                <c:pt idx="4">
                  <c:v>16766</c:v>
                </c:pt>
                <c:pt idx="5">
                  <c:v>16839.763214394759</c:v>
                </c:pt>
                <c:pt idx="6">
                  <c:v>18931.596321990804</c:v>
                </c:pt>
                <c:pt idx="7">
                  <c:v>19065.598659466061</c:v>
                </c:pt>
                <c:pt idx="8">
                  <c:v>18726.723195261704</c:v>
                </c:pt>
                <c:pt idx="9">
                  <c:v>19228.494497609328</c:v>
                </c:pt>
                <c:pt idx="10">
                  <c:v>19462.883601578487</c:v>
                </c:pt>
                <c:pt idx="11">
                  <c:v>20271.52344116192</c:v>
                </c:pt>
                <c:pt idx="12">
                  <c:v>20292.12021608292</c:v>
                </c:pt>
                <c:pt idx="13">
                  <c:v>20275.337273789195</c:v>
                </c:pt>
                <c:pt idx="14">
                  <c:v>21123.969098362639</c:v>
                </c:pt>
                <c:pt idx="15">
                  <c:v>21701.146506950899</c:v>
                </c:pt>
                <c:pt idx="16">
                  <c:v>21954.0317457153</c:v>
                </c:pt>
                <c:pt idx="17">
                  <c:v>22598.459748273901</c:v>
                </c:pt>
                <c:pt idx="18">
                  <c:v>23743.115355492198</c:v>
                </c:pt>
                <c:pt idx="19">
                  <c:v>23898.735978360099</c:v>
                </c:pt>
              </c:numCache>
            </c:numRef>
          </c:val>
          <c:smooth val="0"/>
          <c:extLst>
            <c:ext xmlns:c16="http://schemas.microsoft.com/office/drawing/2014/chart" uri="{C3380CC4-5D6E-409C-BE32-E72D297353CC}">
              <c16:uniqueId val="{00000000-5DBF-4246-B116-D2734D6B3AFD}"/>
            </c:ext>
          </c:extLst>
        </c:ser>
        <c:dLbls>
          <c:showLegendKey val="0"/>
          <c:showVal val="0"/>
          <c:showCatName val="0"/>
          <c:showSerName val="0"/>
          <c:showPercent val="0"/>
          <c:showBubbleSize val="0"/>
        </c:dLbls>
        <c:smooth val="0"/>
        <c:axId val="1778438000"/>
        <c:axId val="1778437584"/>
      </c:lineChart>
      <c:catAx>
        <c:axId val="177843800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37584"/>
        <c:crosses val="autoZero"/>
        <c:auto val="1"/>
        <c:lblAlgn val="ctr"/>
        <c:lblOffset val="100"/>
        <c:noMultiLvlLbl val="0"/>
      </c:catAx>
      <c:valAx>
        <c:axId val="1778437584"/>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38000"/>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Charts!$AA$228</c:f>
              <c:strCache>
                <c:ptCount val="1"/>
                <c:pt idx="0">
                  <c:v>EBITDA</c:v>
                </c:pt>
              </c:strCache>
            </c:strRef>
          </c:tx>
          <c:spPr>
            <a:solidFill>
              <a:schemeClr val="accent5">
                <a:lumMod val="75000"/>
              </a:schemeClr>
            </a:solidFill>
            <a:ln w="25400">
              <a:noFill/>
            </a:ln>
            <a:effectLst/>
          </c:spPr>
          <c:invertIfNegative val="0"/>
          <c:cat>
            <c:strRef>
              <c:f>Charts!$AB$227:$AU$227</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Charts!$AB$228:$AU$228</c:f>
              <c:numCache>
                <c:formatCode>#,##0</c:formatCode>
                <c:ptCount val="20"/>
                <c:pt idx="0">
                  <c:v>40109.023235999979</c:v>
                </c:pt>
                <c:pt idx="1">
                  <c:v>50795.573455490055</c:v>
                </c:pt>
                <c:pt idx="2">
                  <c:v>52227.34835800001</c:v>
                </c:pt>
                <c:pt idx="3">
                  <c:v>58919.083494999948</c:v>
                </c:pt>
                <c:pt idx="4">
                  <c:v>64598.766257000018</c:v>
                </c:pt>
                <c:pt idx="5">
                  <c:v>66896.953566000127</c:v>
                </c:pt>
                <c:pt idx="6">
                  <c:v>70335.220085719993</c:v>
                </c:pt>
                <c:pt idx="7">
                  <c:v>74679</c:v>
                </c:pt>
                <c:pt idx="8">
                  <c:v>78962.476355852035</c:v>
                </c:pt>
                <c:pt idx="9">
                  <c:v>88599.264398901811</c:v>
                </c:pt>
                <c:pt idx="10">
                  <c:v>92666.831511270284</c:v>
                </c:pt>
                <c:pt idx="11">
                  <c:v>98736.162186745802</c:v>
                </c:pt>
                <c:pt idx="12">
                  <c:v>104121.31686903587</c:v>
                </c:pt>
                <c:pt idx="13">
                  <c:v>105226.97681459524</c:v>
                </c:pt>
                <c:pt idx="14">
                  <c:v>111664.93428699998</c:v>
                </c:pt>
                <c:pt idx="15">
                  <c:v>115039.43971699997</c:v>
                </c:pt>
                <c:pt idx="16">
                  <c:v>119239.74851200011</c:v>
                </c:pt>
                <c:pt idx="17">
                  <c:v>121607.10500399992</c:v>
                </c:pt>
                <c:pt idx="18">
                  <c:v>125274</c:v>
                </c:pt>
                <c:pt idx="19">
                  <c:v>141710</c:v>
                </c:pt>
              </c:numCache>
            </c:numRef>
          </c:val>
          <c:extLst>
            <c:ext xmlns:c16="http://schemas.microsoft.com/office/drawing/2014/chart" uri="{C3380CC4-5D6E-409C-BE32-E72D297353CC}">
              <c16:uniqueId val="{00000000-4DC4-4508-89F4-81197AF77434}"/>
            </c:ext>
          </c:extLst>
        </c:ser>
        <c:dLbls>
          <c:showLegendKey val="0"/>
          <c:showVal val="0"/>
          <c:showCatName val="0"/>
          <c:showSerName val="0"/>
          <c:showPercent val="0"/>
          <c:showBubbleSize val="0"/>
        </c:dLbls>
        <c:gapWidth val="219"/>
        <c:overlap val="-27"/>
        <c:axId val="838333424"/>
        <c:axId val="838332592"/>
      </c:barChart>
      <c:lineChart>
        <c:grouping val="standard"/>
        <c:varyColors val="0"/>
        <c:ser>
          <c:idx val="1"/>
          <c:order val="1"/>
          <c:tx>
            <c:strRef>
              <c:f>Charts!$AA$229</c:f>
              <c:strCache>
                <c:ptCount val="1"/>
                <c:pt idx="0">
                  <c:v>EBITDA Growth YoY</c:v>
                </c:pt>
              </c:strCache>
            </c:strRef>
          </c:tx>
          <c:spPr>
            <a:ln w="28575" cap="rnd">
              <a:solidFill>
                <a:schemeClr val="accent2"/>
              </a:solidFill>
              <a:round/>
            </a:ln>
            <a:effectLst/>
          </c:spPr>
          <c:marker>
            <c:symbol val="none"/>
          </c:marker>
          <c:cat>
            <c:strRef>
              <c:f>Charts!$AB$227:$AU$227</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Charts!$AB$229:$AU$229</c:f>
              <c:numCache>
                <c:formatCode>0%</c:formatCode>
                <c:ptCount val="20"/>
                <c:pt idx="0">
                  <c:v>1.057131301584211</c:v>
                </c:pt>
                <c:pt idx="1">
                  <c:v>0.97978190699524492</c:v>
                </c:pt>
                <c:pt idx="2">
                  <c:v>0.34808173767235795</c:v>
                </c:pt>
                <c:pt idx="3">
                  <c:v>0.47618779583093107</c:v>
                </c:pt>
                <c:pt idx="4">
                  <c:v>0.61057939199624278</c:v>
                </c:pt>
                <c:pt idx="5">
                  <c:v>0.31698392232187333</c:v>
                </c:pt>
                <c:pt idx="6">
                  <c:v>0.34671244658252465</c:v>
                </c:pt>
                <c:pt idx="7">
                  <c:v>0.26748407426156739</c:v>
                </c:pt>
                <c:pt idx="8">
                  <c:v>0.22235270007645913</c:v>
                </c:pt>
                <c:pt idx="9">
                  <c:v>0.32441403795002888</c:v>
                </c:pt>
                <c:pt idx="10">
                  <c:v>0.3175025456426237</c:v>
                </c:pt>
                <c:pt idx="11">
                  <c:v>0.32214092565173336</c:v>
                </c:pt>
                <c:pt idx="12">
                  <c:v>0.31861767353651738</c:v>
                </c:pt>
                <c:pt idx="13">
                  <c:v>0.18767325585041239</c:v>
                </c:pt>
                <c:pt idx="14">
                  <c:v>0.205015132878684</c:v>
                </c:pt>
                <c:pt idx="15">
                  <c:v>0.16511961949076737</c:v>
                </c:pt>
                <c:pt idx="16">
                  <c:v>0.14520015783108331</c:v>
                </c:pt>
                <c:pt idx="17">
                  <c:v>0.15566472291858835</c:v>
                </c:pt>
                <c:pt idx="18">
                  <c:v>0.12187412100223116</c:v>
                </c:pt>
                <c:pt idx="19">
                  <c:v>0.23183840558168844</c:v>
                </c:pt>
              </c:numCache>
            </c:numRef>
          </c:val>
          <c:smooth val="0"/>
          <c:extLst>
            <c:ext xmlns:c16="http://schemas.microsoft.com/office/drawing/2014/chart" uri="{C3380CC4-5D6E-409C-BE32-E72D297353CC}">
              <c16:uniqueId val="{00000001-4DC4-4508-89F4-81197AF77434}"/>
            </c:ext>
          </c:extLst>
        </c:ser>
        <c:dLbls>
          <c:showLegendKey val="0"/>
          <c:showVal val="0"/>
          <c:showCatName val="0"/>
          <c:showSerName val="0"/>
          <c:showPercent val="0"/>
          <c:showBubbleSize val="0"/>
        </c:dLbls>
        <c:marker val="1"/>
        <c:smooth val="0"/>
        <c:axId val="838340496"/>
        <c:axId val="838335504"/>
      </c:lineChart>
      <c:catAx>
        <c:axId val="838333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8332592"/>
        <c:crosses val="autoZero"/>
        <c:auto val="1"/>
        <c:lblAlgn val="ctr"/>
        <c:lblOffset val="100"/>
        <c:noMultiLvlLbl val="0"/>
      </c:catAx>
      <c:valAx>
        <c:axId val="83833259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8333424"/>
        <c:crosses val="autoZero"/>
        <c:crossBetween val="between"/>
      </c:valAx>
      <c:valAx>
        <c:axId val="83833550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8340496"/>
        <c:crosses val="max"/>
        <c:crossBetween val="between"/>
      </c:valAx>
      <c:catAx>
        <c:axId val="838340496"/>
        <c:scaling>
          <c:orientation val="minMax"/>
        </c:scaling>
        <c:delete val="1"/>
        <c:axPos val="b"/>
        <c:numFmt formatCode="General" sourceLinked="1"/>
        <c:majorTickMark val="out"/>
        <c:minorTickMark val="none"/>
        <c:tickLblPos val="nextTo"/>
        <c:crossAx val="838335504"/>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'Domestic Mobile Operations'!$I$108</c:f>
              <c:strCache>
                <c:ptCount val="1"/>
              </c:strCache>
            </c:strRef>
          </c:tx>
          <c:spPr>
            <a:solidFill>
              <a:srgbClr val="000080"/>
            </a:solidFill>
            <a:ln w="25400">
              <a:noFill/>
            </a:ln>
            <a:effectLst/>
          </c:spPr>
          <c:invertIfNegative val="0"/>
          <c:cat>
            <c:strRef>
              <c:f>'Domestic Mobile Operations'!$R$107:$AM$107</c:f>
              <c:strCache>
                <c:ptCount val="22"/>
                <c:pt idx="0">
                  <c:v>1Q16</c:v>
                </c:pt>
                <c:pt idx="1">
                  <c:v>2Q16</c:v>
                </c:pt>
                <c:pt idx="2">
                  <c:v>3Q16</c:v>
                </c:pt>
                <c:pt idx="3">
                  <c:v>4Q16</c:v>
                </c:pt>
                <c:pt idx="4">
                  <c:v>1Q17</c:v>
                </c:pt>
                <c:pt idx="5">
                  <c:v>2Q17</c:v>
                </c:pt>
                <c:pt idx="6">
                  <c:v>3Q17</c:v>
                </c:pt>
                <c:pt idx="7">
                  <c:v>4Q17</c:v>
                </c:pt>
                <c:pt idx="8">
                  <c:v>1Q18</c:v>
                </c:pt>
                <c:pt idx="9">
                  <c:v>2Q18</c:v>
                </c:pt>
                <c:pt idx="10">
                  <c:v>3Q18</c:v>
                </c:pt>
                <c:pt idx="11">
                  <c:v>4Q18</c:v>
                </c:pt>
                <c:pt idx="12">
                  <c:v>1Q19</c:v>
                </c:pt>
                <c:pt idx="13">
                  <c:v>2Q19</c:v>
                </c:pt>
                <c:pt idx="14">
                  <c:v>3Q19</c:v>
                </c:pt>
                <c:pt idx="15">
                  <c:v>4Q19</c:v>
                </c:pt>
                <c:pt idx="16">
                  <c:v>1Q20</c:v>
                </c:pt>
                <c:pt idx="17">
                  <c:v>2Q20</c:v>
                </c:pt>
                <c:pt idx="18">
                  <c:v>3Q20</c:v>
                </c:pt>
                <c:pt idx="19">
                  <c:v>4Q20</c:v>
                </c:pt>
                <c:pt idx="20">
                  <c:v>1Q21</c:v>
                </c:pt>
                <c:pt idx="21">
                  <c:v>2Q21</c:v>
                </c:pt>
              </c:strCache>
            </c:strRef>
          </c:cat>
          <c:val>
            <c:numRef>
              <c:f>'Domestic Mobile Operations'!$R$108:$AM$108</c:f>
              <c:numCache>
                <c:formatCode>0.0%</c:formatCode>
                <c:ptCount val="22"/>
                <c:pt idx="0">
                  <c:v>-6.5440718994957958E-4</c:v>
                </c:pt>
                <c:pt idx="1">
                  <c:v>-2.8496261765495468E-2</c:v>
                </c:pt>
                <c:pt idx="2">
                  <c:v>-3.125185058963531E-3</c:v>
                </c:pt>
                <c:pt idx="3">
                  <c:v>1.1487390693750488E-2</c:v>
                </c:pt>
                <c:pt idx="4">
                  <c:v>7.9292495037168731E-3</c:v>
                </c:pt>
                <c:pt idx="5">
                  <c:v>-4.0173970477005438E-2</c:v>
                </c:pt>
                <c:pt idx="6">
                  <c:v>-8.4349076617580843E-2</c:v>
                </c:pt>
                <c:pt idx="7">
                  <c:v>-8.3939415245546933E-2</c:v>
                </c:pt>
                <c:pt idx="8">
                  <c:v>-1.9671297118251996E-2</c:v>
                </c:pt>
                <c:pt idx="9">
                  <c:v>-6.139653279259405E-2</c:v>
                </c:pt>
                <c:pt idx="10">
                  <c:v>-0.15172413793103445</c:v>
                </c:pt>
                <c:pt idx="11">
                  <c:v>-5.6910569105691033E-2</c:v>
                </c:pt>
                <c:pt idx="12">
                  <c:v>-9.4827586206896575E-2</c:v>
                </c:pt>
                <c:pt idx="13">
                  <c:v>-4.7619047619047672E-2</c:v>
                </c:pt>
                <c:pt idx="14">
                  <c:v>4.0000000000000036E-2</c:v>
                </c:pt>
                <c:pt idx="15">
                  <c:v>0.18269230769230771</c:v>
                </c:pt>
                <c:pt idx="16">
                  <c:v>4.8780487804878092E-2</c:v>
                </c:pt>
                <c:pt idx="17">
                  <c:v>-7.7519379844961378E-3</c:v>
                </c:pt>
                <c:pt idx="18">
                  <c:v>5.352602667832751E-2</c:v>
                </c:pt>
                <c:pt idx="19">
                  <c:v>0.14252318439570866</c:v>
                </c:pt>
                <c:pt idx="20">
                  <c:v>1.7768724922981649E-2</c:v>
                </c:pt>
                <c:pt idx="21">
                  <c:v>3.4330205232516064E-2</c:v>
                </c:pt>
              </c:numCache>
            </c:numRef>
          </c:val>
          <c:extLst>
            <c:ext xmlns:c16="http://schemas.microsoft.com/office/drawing/2014/chart" uri="{C3380CC4-5D6E-409C-BE32-E72D297353CC}">
              <c16:uniqueId val="{00000000-A3C8-42A0-805A-5503DEB95F33}"/>
            </c:ext>
          </c:extLst>
        </c:ser>
        <c:dLbls>
          <c:showLegendKey val="0"/>
          <c:showVal val="0"/>
          <c:showCatName val="0"/>
          <c:showSerName val="0"/>
          <c:showPercent val="0"/>
          <c:showBubbleSize val="0"/>
        </c:dLbls>
        <c:gapWidth val="219"/>
        <c:overlap val="-27"/>
        <c:axId val="716769296"/>
        <c:axId val="716767336"/>
      </c:barChart>
      <c:catAx>
        <c:axId val="71676929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16767336"/>
        <c:crosses val="autoZero"/>
        <c:auto val="1"/>
        <c:lblAlgn val="ctr"/>
        <c:lblOffset val="100"/>
        <c:noMultiLvlLbl val="0"/>
      </c:catAx>
      <c:valAx>
        <c:axId val="716767336"/>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16769296"/>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Charts!$AA$234</c:f>
              <c:strCache>
                <c:ptCount val="1"/>
                <c:pt idx="0">
                  <c:v>EBITDA Margin</c:v>
                </c:pt>
              </c:strCache>
            </c:strRef>
          </c:tx>
          <c:spPr>
            <a:solidFill>
              <a:schemeClr val="accent5">
                <a:lumMod val="75000"/>
              </a:schemeClr>
            </a:solidFill>
            <a:ln w="25400">
              <a:noFill/>
            </a:ln>
            <a:effectLst/>
          </c:spPr>
          <c:invertIfNegative val="0"/>
          <c:cat>
            <c:strRef>
              <c:f>Charts!$AB$233:$AU$233</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Charts!$AB$234:$AU$234</c:f>
              <c:numCache>
                <c:formatCode>0%</c:formatCode>
                <c:ptCount val="20"/>
                <c:pt idx="0">
                  <c:v>0.35922959433181106</c:v>
                </c:pt>
                <c:pt idx="1">
                  <c:v>0.3921567138993603</c:v>
                </c:pt>
                <c:pt idx="2">
                  <c:v>0.40558304703325743</c:v>
                </c:pt>
                <c:pt idx="3">
                  <c:v>0.42596442075208102</c:v>
                </c:pt>
                <c:pt idx="4">
                  <c:v>0.43710084845059677</c:v>
                </c:pt>
                <c:pt idx="5">
                  <c:v>0.47513212340403538</c:v>
                </c:pt>
                <c:pt idx="6">
                  <c:v>0.4916634831943939</c:v>
                </c:pt>
                <c:pt idx="7">
                  <c:v>0.49158734547178007</c:v>
                </c:pt>
                <c:pt idx="8">
                  <c:v>0.49298146393583758</c:v>
                </c:pt>
                <c:pt idx="9">
                  <c:v>0.50552447969679604</c:v>
                </c:pt>
                <c:pt idx="10">
                  <c:v>0.51083053936119094</c:v>
                </c:pt>
                <c:pt idx="11">
                  <c:v>0.52290437655374999</c:v>
                </c:pt>
                <c:pt idx="12">
                  <c:v>0.53802091856849843</c:v>
                </c:pt>
                <c:pt idx="13">
                  <c:v>0.53826582507080478</c:v>
                </c:pt>
                <c:pt idx="14">
                  <c:v>0.54757994353317463</c:v>
                </c:pt>
                <c:pt idx="15">
                  <c:v>0.54905939722618291</c:v>
                </c:pt>
                <c:pt idx="16">
                  <c:v>0.55105226695063769</c:v>
                </c:pt>
                <c:pt idx="17">
                  <c:v>0.55111428280772523</c:v>
                </c:pt>
                <c:pt idx="18">
                  <c:v>0.55609514441054997</c:v>
                </c:pt>
                <c:pt idx="19">
                  <c:v>0.57055775432719602</c:v>
                </c:pt>
              </c:numCache>
            </c:numRef>
          </c:val>
          <c:extLst>
            <c:ext xmlns:c16="http://schemas.microsoft.com/office/drawing/2014/chart" uri="{C3380CC4-5D6E-409C-BE32-E72D297353CC}">
              <c16:uniqueId val="{00000000-7E6B-4840-BA63-F0475C01A86F}"/>
            </c:ext>
          </c:extLst>
        </c:ser>
        <c:dLbls>
          <c:showLegendKey val="0"/>
          <c:showVal val="0"/>
          <c:showCatName val="0"/>
          <c:showSerName val="0"/>
          <c:showPercent val="0"/>
          <c:showBubbleSize val="0"/>
        </c:dLbls>
        <c:gapWidth val="219"/>
        <c:overlap val="-27"/>
        <c:axId val="833153216"/>
        <c:axId val="833157792"/>
      </c:barChart>
      <c:lineChart>
        <c:grouping val="standard"/>
        <c:varyColors val="0"/>
        <c:ser>
          <c:idx val="1"/>
          <c:order val="1"/>
          <c:tx>
            <c:strRef>
              <c:f>Charts!$AA$235</c:f>
              <c:strCache>
                <c:ptCount val="1"/>
                <c:pt idx="0">
                  <c:v>EBITDA Margin Growth YoY</c:v>
                </c:pt>
              </c:strCache>
            </c:strRef>
          </c:tx>
          <c:spPr>
            <a:ln w="28575" cap="rnd">
              <a:solidFill>
                <a:schemeClr val="accent2"/>
              </a:solidFill>
              <a:round/>
            </a:ln>
            <a:effectLst/>
          </c:spPr>
          <c:marker>
            <c:symbol val="none"/>
          </c:marker>
          <c:cat>
            <c:strRef>
              <c:f>Charts!$AB$233:$AU$233</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Charts!$AB$235:$AU$235</c:f>
              <c:numCache>
                <c:formatCode>0%</c:formatCode>
                <c:ptCount val="20"/>
                <c:pt idx="0">
                  <c:v>0.16787786607047539</c:v>
                </c:pt>
                <c:pt idx="1">
                  <c:v>0.15084199656481698</c:v>
                </c:pt>
                <c:pt idx="2">
                  <c:v>4.906401511929892E-2</c:v>
                </c:pt>
                <c:pt idx="3">
                  <c:v>6.250438833362798E-2</c:v>
                </c:pt>
                <c:pt idx="4">
                  <c:v>7.7871254118785704E-2</c:v>
                </c:pt>
                <c:pt idx="5">
                  <c:v>8.2975409504675079E-2</c:v>
                </c:pt>
                <c:pt idx="6">
                  <c:v>8.6080436161136475E-2</c:v>
                </c:pt>
                <c:pt idx="7">
                  <c:v>6.562292471969905E-2</c:v>
                </c:pt>
                <c:pt idx="8">
                  <c:v>5.5880615485240814E-2</c:v>
                </c:pt>
                <c:pt idx="9">
                  <c:v>3.0392356292760658E-2</c:v>
                </c:pt>
                <c:pt idx="10">
                  <c:v>1.9167056166797036E-2</c:v>
                </c:pt>
                <c:pt idx="11">
                  <c:v>3.1317031081969926E-2</c:v>
                </c:pt>
                <c:pt idx="12">
                  <c:v>4.5039454632660847E-2</c:v>
                </c:pt>
                <c:pt idx="13">
                  <c:v>3.2741345374008746E-2</c:v>
                </c:pt>
                <c:pt idx="14">
                  <c:v>3.6749404171983691E-2</c:v>
                </c:pt>
                <c:pt idx="15">
                  <c:v>2.6155020672432916E-2</c:v>
                </c:pt>
                <c:pt idx="16">
                  <c:v>1.3031348382139263E-2</c:v>
                </c:pt>
                <c:pt idx="17">
                  <c:v>1.2848457736920449E-2</c:v>
                </c:pt>
                <c:pt idx="18">
                  <c:v>8.5152008773753396E-3</c:v>
                </c:pt>
                <c:pt idx="19">
                  <c:v>2.149835710101311E-2</c:v>
                </c:pt>
              </c:numCache>
            </c:numRef>
          </c:val>
          <c:smooth val="0"/>
          <c:extLst>
            <c:ext xmlns:c16="http://schemas.microsoft.com/office/drawing/2014/chart" uri="{C3380CC4-5D6E-409C-BE32-E72D297353CC}">
              <c16:uniqueId val="{00000001-7E6B-4840-BA63-F0475C01A86F}"/>
            </c:ext>
          </c:extLst>
        </c:ser>
        <c:dLbls>
          <c:showLegendKey val="0"/>
          <c:showVal val="0"/>
          <c:showCatName val="0"/>
          <c:showSerName val="0"/>
          <c:showPercent val="0"/>
          <c:showBubbleSize val="0"/>
        </c:dLbls>
        <c:marker val="1"/>
        <c:smooth val="0"/>
        <c:axId val="833142400"/>
        <c:axId val="833138656"/>
      </c:lineChart>
      <c:catAx>
        <c:axId val="833153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3157792"/>
        <c:crosses val="autoZero"/>
        <c:auto val="1"/>
        <c:lblAlgn val="ctr"/>
        <c:lblOffset val="100"/>
        <c:noMultiLvlLbl val="0"/>
      </c:catAx>
      <c:valAx>
        <c:axId val="83315779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3153216"/>
        <c:crosses val="autoZero"/>
        <c:crossBetween val="between"/>
      </c:valAx>
      <c:valAx>
        <c:axId val="833138656"/>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3142400"/>
        <c:crosses val="max"/>
        <c:crossBetween val="between"/>
      </c:valAx>
      <c:catAx>
        <c:axId val="833142400"/>
        <c:scaling>
          <c:orientation val="minMax"/>
        </c:scaling>
        <c:delete val="1"/>
        <c:axPos val="b"/>
        <c:numFmt formatCode="General" sourceLinked="1"/>
        <c:majorTickMark val="out"/>
        <c:minorTickMark val="none"/>
        <c:tickLblPos val="nextTo"/>
        <c:crossAx val="833138656"/>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Charts!$AA$247</c:f>
              <c:strCache>
                <c:ptCount val="1"/>
                <c:pt idx="0">
                  <c:v>Capex as % of sales</c:v>
                </c:pt>
              </c:strCache>
            </c:strRef>
          </c:tx>
          <c:spPr>
            <a:ln w="25400" cap="rnd">
              <a:solidFill>
                <a:srgbClr val="333399"/>
              </a:solidFill>
              <a:prstDash val="solid"/>
              <a:round/>
            </a:ln>
            <a:effectLst/>
          </c:spPr>
          <c:marker>
            <c:symbol val="none"/>
          </c:marker>
          <c:cat>
            <c:strRef>
              <c:f>Charts!$AB$246:$AU$246</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Charts!$AB$247:$AU$247</c:f>
              <c:numCache>
                <c:formatCode>0%</c:formatCode>
                <c:ptCount val="20"/>
                <c:pt idx="0">
                  <c:v>0.22762295786854467</c:v>
                </c:pt>
                <c:pt idx="1">
                  <c:v>0.54017660536700074</c:v>
                </c:pt>
                <c:pt idx="2">
                  <c:v>0.19868309398682743</c:v>
                </c:pt>
                <c:pt idx="3">
                  <c:v>0.30173875953277884</c:v>
                </c:pt>
                <c:pt idx="4">
                  <c:v>0.28452271791769651</c:v>
                </c:pt>
                <c:pt idx="5">
                  <c:v>0.26557960017701782</c:v>
                </c:pt>
                <c:pt idx="6">
                  <c:v>0.30578490646105594</c:v>
                </c:pt>
                <c:pt idx="7">
                  <c:v>0.30473162447174057</c:v>
                </c:pt>
                <c:pt idx="8">
                  <c:v>0.1812890804591068</c:v>
                </c:pt>
                <c:pt idx="9">
                  <c:v>0.14582551315459263</c:v>
                </c:pt>
                <c:pt idx="10">
                  <c:v>0.19892428167181381</c:v>
                </c:pt>
                <c:pt idx="11">
                  <c:v>0.20364241537344091</c:v>
                </c:pt>
                <c:pt idx="12">
                  <c:v>0.32963648038760263</c:v>
                </c:pt>
                <c:pt idx="13">
                  <c:v>0.34001795821100489</c:v>
                </c:pt>
                <c:pt idx="14">
                  <c:v>0.38391435840216909</c:v>
                </c:pt>
                <c:pt idx="15">
                  <c:v>0.27136255339611837</c:v>
                </c:pt>
                <c:pt idx="16">
                  <c:v>0.26563242645397994</c:v>
                </c:pt>
                <c:pt idx="17">
                  <c:v>0.27237884534656331</c:v>
                </c:pt>
                <c:pt idx="18">
                  <c:v>0.21520708389818582</c:v>
                </c:pt>
                <c:pt idx="19">
                  <c:v>0.16057117599806287</c:v>
                </c:pt>
              </c:numCache>
            </c:numRef>
          </c:val>
          <c:smooth val="0"/>
          <c:extLst>
            <c:ext xmlns:c16="http://schemas.microsoft.com/office/drawing/2014/chart" uri="{C3380CC4-5D6E-409C-BE32-E72D297353CC}">
              <c16:uniqueId val="{00000000-3805-4708-B0E2-788B72EA8F9F}"/>
            </c:ext>
          </c:extLst>
        </c:ser>
        <c:dLbls>
          <c:showLegendKey val="0"/>
          <c:showVal val="0"/>
          <c:showCatName val="0"/>
          <c:showSerName val="0"/>
          <c:showPercent val="0"/>
          <c:showBubbleSize val="0"/>
        </c:dLbls>
        <c:smooth val="0"/>
        <c:axId val="833199392"/>
        <c:axId val="833190240"/>
      </c:lineChart>
      <c:catAx>
        <c:axId val="83319939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3190240"/>
        <c:crosses val="autoZero"/>
        <c:auto val="1"/>
        <c:lblAlgn val="ctr"/>
        <c:lblOffset val="100"/>
        <c:noMultiLvlLbl val="0"/>
      </c:catAx>
      <c:valAx>
        <c:axId val="83319024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3199392"/>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Charts!$AA$253</c:f>
              <c:strCache>
                <c:ptCount val="1"/>
                <c:pt idx="0">
                  <c:v>Net Adds ('000)</c:v>
                </c:pt>
              </c:strCache>
            </c:strRef>
          </c:tx>
          <c:spPr>
            <a:solidFill>
              <a:srgbClr val="000080"/>
            </a:solidFill>
            <a:ln w="25400">
              <a:noFill/>
            </a:ln>
            <a:effectLst/>
          </c:spPr>
          <c:invertIfNegative val="0"/>
          <c:cat>
            <c:strRef>
              <c:f>Charts!$AB$252:$AU$252</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Charts!$AB$253:$AU$253</c:f>
              <c:numCache>
                <c:formatCode>#,##0</c:formatCode>
                <c:ptCount val="20"/>
                <c:pt idx="0">
                  <c:v>3606.2529999999679</c:v>
                </c:pt>
                <c:pt idx="1">
                  <c:v>630.93100000004051</c:v>
                </c:pt>
                <c:pt idx="2">
                  <c:v>-3798.1840000000084</c:v>
                </c:pt>
                <c:pt idx="3">
                  <c:v>13873.219999999972</c:v>
                </c:pt>
                <c:pt idx="4">
                  <c:v>14205.780000000028</c:v>
                </c:pt>
                <c:pt idx="5">
                  <c:v>13425.510000000009</c:v>
                </c:pt>
                <c:pt idx="6">
                  <c:v>-135.38699999998789</c:v>
                </c:pt>
                <c:pt idx="7">
                  <c:v>2237.8769999999786</c:v>
                </c:pt>
                <c:pt idx="8">
                  <c:v>-558.40700000000652</c:v>
                </c:pt>
                <c:pt idx="9">
                  <c:v>3125.4070000000065</c:v>
                </c:pt>
                <c:pt idx="10">
                  <c:v>1264.7399999999907</c:v>
                </c:pt>
                <c:pt idx="11">
                  <c:v>490.22000000003027</c:v>
                </c:pt>
                <c:pt idx="12">
                  <c:v>4445.6599999999744</c:v>
                </c:pt>
                <c:pt idx="13">
                  <c:v>3168.6620000000694</c:v>
                </c:pt>
                <c:pt idx="14">
                  <c:v>3150.1029999999446</c:v>
                </c:pt>
                <c:pt idx="15">
                  <c:v>3742.9770000000135</c:v>
                </c:pt>
                <c:pt idx="16">
                  <c:v>3264.844000000041</c:v>
                </c:pt>
                <c:pt idx="17">
                  <c:v>6682.6059999999125</c:v>
                </c:pt>
                <c:pt idx="18">
                  <c:v>2262.3280000000377</c:v>
                </c:pt>
                <c:pt idx="19">
                  <c:v>-2874.8959999999497</c:v>
                </c:pt>
              </c:numCache>
            </c:numRef>
          </c:val>
          <c:extLst>
            <c:ext xmlns:c16="http://schemas.microsoft.com/office/drawing/2014/chart" uri="{C3380CC4-5D6E-409C-BE32-E72D297353CC}">
              <c16:uniqueId val="{00000000-27D0-4FFA-B112-861DCDA9B9E3}"/>
            </c:ext>
          </c:extLst>
        </c:ser>
        <c:dLbls>
          <c:showLegendKey val="0"/>
          <c:showVal val="0"/>
          <c:showCatName val="0"/>
          <c:showSerName val="0"/>
          <c:showPercent val="0"/>
          <c:showBubbleSize val="0"/>
        </c:dLbls>
        <c:gapWidth val="219"/>
        <c:overlap val="-27"/>
        <c:axId val="1265813360"/>
        <c:axId val="1265819600"/>
      </c:barChart>
      <c:catAx>
        <c:axId val="126581336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65819600"/>
        <c:crosses val="autoZero"/>
        <c:auto val="1"/>
        <c:lblAlgn val="ctr"/>
        <c:lblOffset val="100"/>
        <c:noMultiLvlLbl val="0"/>
      </c:catAx>
      <c:valAx>
        <c:axId val="126581960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65813360"/>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Charts!$AA$268</c:f>
              <c:strCache>
                <c:ptCount val="1"/>
                <c:pt idx="0">
                  <c:v>Total revenues HS</c:v>
                </c:pt>
              </c:strCache>
            </c:strRef>
          </c:tx>
          <c:spPr>
            <a:solidFill>
              <a:srgbClr val="000080"/>
            </a:solidFill>
            <a:ln w="25400">
              <a:noFill/>
            </a:ln>
            <a:effectLst/>
          </c:spPr>
          <c:invertIfNegative val="0"/>
          <c:cat>
            <c:strRef>
              <c:f>Charts!$AB$267:$AU$267</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Charts!$AB$268:$AU$268</c:f>
              <c:numCache>
                <c:formatCode>#,##0</c:formatCode>
                <c:ptCount val="20"/>
                <c:pt idx="0">
                  <c:v>5546.3759500000024</c:v>
                </c:pt>
                <c:pt idx="1">
                  <c:v>5725.1100410000008</c:v>
                </c:pt>
                <c:pt idx="2">
                  <c:v>5785.6427860000003</c:v>
                </c:pt>
                <c:pt idx="3">
                  <c:v>5873.4223299999994</c:v>
                </c:pt>
                <c:pt idx="4">
                  <c:v>5673.778941999999</c:v>
                </c:pt>
                <c:pt idx="5">
                  <c:v>6009.0889880000013</c:v>
                </c:pt>
                <c:pt idx="6">
                  <c:v>6532.6126100000001</c:v>
                </c:pt>
                <c:pt idx="7">
                  <c:v>7127</c:v>
                </c:pt>
                <c:pt idx="8">
                  <c:v>7968.7393219999976</c:v>
                </c:pt>
                <c:pt idx="9">
                  <c:v>8762.0578490000007</c:v>
                </c:pt>
                <c:pt idx="10">
                  <c:v>9264.5887449999991</c:v>
                </c:pt>
                <c:pt idx="11">
                  <c:v>9898.4133410000031</c:v>
                </c:pt>
                <c:pt idx="12">
                  <c:v>10343.149191</c:v>
                </c:pt>
                <c:pt idx="13">
                  <c:v>10965.960542999997</c:v>
                </c:pt>
                <c:pt idx="14">
                  <c:v>11620.918957</c:v>
                </c:pt>
                <c:pt idx="15">
                  <c:v>12207.437658000001</c:v>
                </c:pt>
                <c:pt idx="16">
                  <c:v>12718.116070999999</c:v>
                </c:pt>
                <c:pt idx="17">
                  <c:v>13155.006759000004</c:v>
                </c:pt>
                <c:pt idx="18">
                  <c:v>13670</c:v>
                </c:pt>
                <c:pt idx="19">
                  <c:v>14321</c:v>
                </c:pt>
              </c:numCache>
            </c:numRef>
          </c:val>
          <c:extLst>
            <c:ext xmlns:c16="http://schemas.microsoft.com/office/drawing/2014/chart" uri="{C3380CC4-5D6E-409C-BE32-E72D297353CC}">
              <c16:uniqueId val="{00000000-FAF0-46F2-9629-76293D1A07C3}"/>
            </c:ext>
          </c:extLst>
        </c:ser>
        <c:ser>
          <c:idx val="1"/>
          <c:order val="1"/>
          <c:tx>
            <c:strRef>
              <c:f>Charts!$AA$269</c:f>
              <c:strCache>
                <c:ptCount val="1"/>
                <c:pt idx="0">
                  <c:v>Total revenues DTV</c:v>
                </c:pt>
              </c:strCache>
            </c:strRef>
          </c:tx>
          <c:spPr>
            <a:solidFill>
              <a:srgbClr val="9999FF"/>
            </a:solidFill>
            <a:ln w="25400">
              <a:noFill/>
            </a:ln>
            <a:effectLst/>
          </c:spPr>
          <c:invertIfNegative val="0"/>
          <c:cat>
            <c:strRef>
              <c:f>Charts!$AB$267:$AU$267</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Charts!$AB$269:$AU$269</c:f>
              <c:numCache>
                <c:formatCode>#,##0</c:formatCode>
                <c:ptCount val="20"/>
                <c:pt idx="0">
                  <c:v>7921.6576299999997</c:v>
                </c:pt>
                <c:pt idx="1">
                  <c:v>6034.7938980000017</c:v>
                </c:pt>
                <c:pt idx="2">
                  <c:v>7448.2672670000002</c:v>
                </c:pt>
                <c:pt idx="3">
                  <c:v>7548.4164109999992</c:v>
                </c:pt>
                <c:pt idx="4">
                  <c:v>7892.0325370000019</c:v>
                </c:pt>
                <c:pt idx="5">
                  <c:v>7673.1986040000002</c:v>
                </c:pt>
                <c:pt idx="6">
                  <c:v>8094.5149229999997</c:v>
                </c:pt>
                <c:pt idx="7">
                  <c:v>7979</c:v>
                </c:pt>
                <c:pt idx="8">
                  <c:v>7912.4453920000005</c:v>
                </c:pt>
                <c:pt idx="9">
                  <c:v>7551.7784139999994</c:v>
                </c:pt>
                <c:pt idx="10">
                  <c:v>7481.7754379999997</c:v>
                </c:pt>
                <c:pt idx="11">
                  <c:v>7288.047474</c:v>
                </c:pt>
                <c:pt idx="12">
                  <c:v>7390.2210090000017</c:v>
                </c:pt>
                <c:pt idx="13">
                  <c:v>7290.4513539999998</c:v>
                </c:pt>
                <c:pt idx="14">
                  <c:v>7403.2364610000004</c:v>
                </c:pt>
                <c:pt idx="15">
                  <c:v>7514.5563480000001</c:v>
                </c:pt>
                <c:pt idx="16">
                  <c:v>7837.163896</c:v>
                </c:pt>
                <c:pt idx="17">
                  <c:v>7693.4150569999965</c:v>
                </c:pt>
                <c:pt idx="18">
                  <c:v>7771</c:v>
                </c:pt>
                <c:pt idx="19">
                  <c:v>7586</c:v>
                </c:pt>
              </c:numCache>
            </c:numRef>
          </c:val>
          <c:extLst>
            <c:ext xmlns:c16="http://schemas.microsoft.com/office/drawing/2014/chart" uri="{C3380CC4-5D6E-409C-BE32-E72D297353CC}">
              <c16:uniqueId val="{00000001-FAF0-46F2-9629-76293D1A07C3}"/>
            </c:ext>
          </c:extLst>
        </c:ser>
        <c:ser>
          <c:idx val="2"/>
          <c:order val="2"/>
          <c:tx>
            <c:strRef>
              <c:f>Charts!$AA$270</c:f>
              <c:strCache>
                <c:ptCount val="1"/>
                <c:pt idx="0">
                  <c:v>Total revenues Bus.</c:v>
                </c:pt>
              </c:strCache>
            </c:strRef>
          </c:tx>
          <c:spPr>
            <a:solidFill>
              <a:srgbClr val="3366FF"/>
            </a:solidFill>
            <a:ln w="25400">
              <a:noFill/>
            </a:ln>
            <a:effectLst/>
          </c:spPr>
          <c:invertIfNegative val="0"/>
          <c:cat>
            <c:strRef>
              <c:f>Charts!$AB$267:$AU$267</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Charts!$AB$270:$AU$270</c:f>
              <c:numCache>
                <c:formatCode>#,##0</c:formatCode>
                <c:ptCount val="20"/>
                <c:pt idx="0">
                  <c:v>33176.344185077003</c:v>
                </c:pt>
                <c:pt idx="1">
                  <c:v>33762.460538964995</c:v>
                </c:pt>
                <c:pt idx="2">
                  <c:v>35019.394650412993</c:v>
                </c:pt>
                <c:pt idx="3">
                  <c:v>35820.581256796992</c:v>
                </c:pt>
                <c:pt idx="4">
                  <c:v>36214.320874482997</c:v>
                </c:pt>
                <c:pt idx="5">
                  <c:v>37020.960182455041</c:v>
                </c:pt>
                <c:pt idx="6">
                  <c:v>37893.218485680001</c:v>
                </c:pt>
                <c:pt idx="7">
                  <c:v>39953</c:v>
                </c:pt>
                <c:pt idx="8">
                  <c:v>41058.526125466982</c:v>
                </c:pt>
                <c:pt idx="9">
                  <c:v>41798.319524299972</c:v>
                </c:pt>
                <c:pt idx="10">
                  <c:v>43656.237966409004</c:v>
                </c:pt>
                <c:pt idx="11">
                  <c:v>46645.534046103006</c:v>
                </c:pt>
                <c:pt idx="12">
                  <c:v>47779.058184985988</c:v>
                </c:pt>
                <c:pt idx="13">
                  <c:v>47849.530726049976</c:v>
                </c:pt>
                <c:pt idx="14">
                  <c:v>50545.195438034993</c:v>
                </c:pt>
                <c:pt idx="15">
                  <c:v>51100.110061839005</c:v>
                </c:pt>
                <c:pt idx="16">
                  <c:v>51948.010027724027</c:v>
                </c:pt>
                <c:pt idx="17">
                  <c:v>54616.101027068944</c:v>
                </c:pt>
                <c:pt idx="18">
                  <c:v>54765</c:v>
                </c:pt>
                <c:pt idx="19">
                  <c:v>56555</c:v>
                </c:pt>
              </c:numCache>
            </c:numRef>
          </c:val>
          <c:extLst>
            <c:ext xmlns:c16="http://schemas.microsoft.com/office/drawing/2014/chart" uri="{C3380CC4-5D6E-409C-BE32-E72D297353CC}">
              <c16:uniqueId val="{00000002-FAF0-46F2-9629-76293D1A07C3}"/>
            </c:ext>
          </c:extLst>
        </c:ser>
        <c:dLbls>
          <c:showLegendKey val="0"/>
          <c:showVal val="0"/>
          <c:showCatName val="0"/>
          <c:showSerName val="0"/>
          <c:showPercent val="0"/>
          <c:showBubbleSize val="0"/>
        </c:dLbls>
        <c:gapWidth val="219"/>
        <c:overlap val="-27"/>
        <c:axId val="955030752"/>
        <c:axId val="955013280"/>
      </c:barChart>
      <c:catAx>
        <c:axId val="955030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55013280"/>
        <c:crosses val="autoZero"/>
        <c:auto val="1"/>
        <c:lblAlgn val="ctr"/>
        <c:lblOffset val="100"/>
        <c:noMultiLvlLbl val="0"/>
      </c:catAx>
      <c:valAx>
        <c:axId val="95501328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5503075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Charts!$AA$275</c:f>
              <c:strCache>
                <c:ptCount val="1"/>
                <c:pt idx="0">
                  <c:v>'Other' Indian revs as % of total</c:v>
                </c:pt>
              </c:strCache>
            </c:strRef>
          </c:tx>
          <c:spPr>
            <a:ln w="25400" cap="rnd">
              <a:solidFill>
                <a:srgbClr val="333399"/>
              </a:solidFill>
              <a:prstDash val="solid"/>
              <a:round/>
            </a:ln>
            <a:effectLst/>
          </c:spPr>
          <c:marker>
            <c:symbol val="none"/>
          </c:marker>
          <c:cat>
            <c:strRef>
              <c:f>Charts!$AB$274:$AU$274</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Charts!$AB$275:$AU$275</c:f>
              <c:numCache>
                <c:formatCode>0%</c:formatCode>
                <c:ptCount val="20"/>
                <c:pt idx="0">
                  <c:v>0.21253093923605856</c:v>
                </c:pt>
                <c:pt idx="1">
                  <c:v>0.19776253427849966</c:v>
                </c:pt>
                <c:pt idx="2">
                  <c:v>0.20718198006643535</c:v>
                </c:pt>
                <c:pt idx="3">
                  <c:v>0.19649494819634558</c:v>
                </c:pt>
                <c:pt idx="4">
                  <c:v>0.18772346255527608</c:v>
                </c:pt>
                <c:pt idx="5">
                  <c:v>0.19692646520005996</c:v>
                </c:pt>
                <c:pt idx="6">
                  <c:v>0.19558027980859177</c:v>
                </c:pt>
                <c:pt idx="7">
                  <c:v>0.19437344667871667</c:v>
                </c:pt>
                <c:pt idx="8">
                  <c:v>0.19064677880798944</c:v>
                </c:pt>
                <c:pt idx="9">
                  <c:v>0.1844812772808512</c:v>
                </c:pt>
                <c:pt idx="10">
                  <c:v>0.1841284519531072</c:v>
                </c:pt>
                <c:pt idx="11">
                  <c:v>0.18487666062624689</c:v>
                </c:pt>
                <c:pt idx="12">
                  <c:v>0.18297312169729416</c:v>
                </c:pt>
                <c:pt idx="13">
                  <c:v>0.1835817229666194</c:v>
                </c:pt>
                <c:pt idx="14">
                  <c:v>0.18581557386761482</c:v>
                </c:pt>
                <c:pt idx="15">
                  <c:v>0.19118477064404574</c:v>
                </c:pt>
                <c:pt idx="16">
                  <c:v>0.1913040805148459</c:v>
                </c:pt>
                <c:pt idx="17">
                  <c:v>0.20070832238821926</c:v>
                </c:pt>
                <c:pt idx="18">
                  <c:v>0.19790476388340639</c:v>
                </c:pt>
                <c:pt idx="19">
                  <c:v>0.18918677799933933</c:v>
                </c:pt>
              </c:numCache>
            </c:numRef>
          </c:val>
          <c:smooth val="0"/>
          <c:extLst>
            <c:ext xmlns:c16="http://schemas.microsoft.com/office/drawing/2014/chart" uri="{C3380CC4-5D6E-409C-BE32-E72D297353CC}">
              <c16:uniqueId val="{00000000-1175-4CF9-B1F8-E3071D6D6B51}"/>
            </c:ext>
          </c:extLst>
        </c:ser>
        <c:ser>
          <c:idx val="1"/>
          <c:order val="1"/>
          <c:tx>
            <c:strRef>
              <c:f>Charts!$AA$276</c:f>
              <c:strCache>
                <c:ptCount val="1"/>
                <c:pt idx="0">
                  <c:v>'Other' Indian revs as % of India</c:v>
                </c:pt>
              </c:strCache>
            </c:strRef>
          </c:tx>
          <c:spPr>
            <a:ln w="25400" cap="rnd">
              <a:solidFill>
                <a:srgbClr val="99CCFF"/>
              </a:solidFill>
              <a:prstDash val="solid"/>
              <a:round/>
            </a:ln>
            <a:effectLst/>
          </c:spPr>
          <c:marker>
            <c:symbol val="none"/>
          </c:marker>
          <c:cat>
            <c:strRef>
              <c:f>Charts!$AB$274:$AU$274</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Charts!$AB$276:$AU$276</c:f>
              <c:numCache>
                <c:formatCode>0%</c:formatCode>
                <c:ptCount val="20"/>
                <c:pt idx="0">
                  <c:v>0.26660119063187637</c:v>
                </c:pt>
                <c:pt idx="1">
                  <c:v>0.23724804002561364</c:v>
                </c:pt>
                <c:pt idx="2">
                  <c:v>0.24944187247447416</c:v>
                </c:pt>
                <c:pt idx="3">
                  <c:v>0.23994364426821416</c:v>
                </c:pt>
                <c:pt idx="4">
                  <c:v>0.25196290536905913</c:v>
                </c:pt>
                <c:pt idx="5">
                  <c:v>0.26476922717219542</c:v>
                </c:pt>
                <c:pt idx="6">
                  <c:v>0.2685419351622213</c:v>
                </c:pt>
                <c:pt idx="7">
                  <c:v>0.26602020553405514</c:v>
                </c:pt>
                <c:pt idx="8">
                  <c:v>0.26225837931224943</c:v>
                </c:pt>
                <c:pt idx="9">
                  <c:v>0.24900846161581522</c:v>
                </c:pt>
                <c:pt idx="10">
                  <c:v>0.24979689904925478</c:v>
                </c:pt>
                <c:pt idx="11">
                  <c:v>0.25264529916644685</c:v>
                </c:pt>
                <c:pt idx="12">
                  <c:v>0.25290570553996139</c:v>
                </c:pt>
                <c:pt idx="13">
                  <c:v>0.25269998105022962</c:v>
                </c:pt>
                <c:pt idx="14">
                  <c:v>0.25437268684774411</c:v>
                </c:pt>
                <c:pt idx="15">
                  <c:v>0.25262658078096312</c:v>
                </c:pt>
                <c:pt idx="16">
                  <c:v>0.25097296835835542</c:v>
                </c:pt>
                <c:pt idx="17">
                  <c:v>0.25484327273288276</c:v>
                </c:pt>
                <c:pt idx="18">
                  <c:v>0.25277265122376114</c:v>
                </c:pt>
                <c:pt idx="19">
                  <c:v>0.24006755743759045</c:v>
                </c:pt>
              </c:numCache>
            </c:numRef>
          </c:val>
          <c:smooth val="0"/>
          <c:extLst>
            <c:ext xmlns:c16="http://schemas.microsoft.com/office/drawing/2014/chart" uri="{C3380CC4-5D6E-409C-BE32-E72D297353CC}">
              <c16:uniqueId val="{00000001-1175-4CF9-B1F8-E3071D6D6B51}"/>
            </c:ext>
          </c:extLst>
        </c:ser>
        <c:dLbls>
          <c:showLegendKey val="0"/>
          <c:showVal val="0"/>
          <c:showCatName val="0"/>
          <c:showSerName val="0"/>
          <c:showPercent val="0"/>
          <c:showBubbleSize val="0"/>
        </c:dLbls>
        <c:smooth val="0"/>
        <c:axId val="879766480"/>
        <c:axId val="879745264"/>
      </c:lineChart>
      <c:catAx>
        <c:axId val="87976648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9745264"/>
        <c:crosses val="autoZero"/>
        <c:auto val="1"/>
        <c:lblAlgn val="ctr"/>
        <c:lblOffset val="100"/>
        <c:noMultiLvlLbl val="0"/>
      </c:catAx>
      <c:valAx>
        <c:axId val="879745264"/>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976648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Charts!$AA$288</c:f>
              <c:strCache>
                <c:ptCount val="1"/>
                <c:pt idx="0">
                  <c:v>Homes Services Revenue Growth YoY</c:v>
                </c:pt>
              </c:strCache>
            </c:strRef>
          </c:tx>
          <c:spPr>
            <a:ln w="25400" cap="rnd">
              <a:solidFill>
                <a:srgbClr val="333399"/>
              </a:solidFill>
              <a:prstDash val="solid"/>
              <a:round/>
            </a:ln>
            <a:effectLst/>
          </c:spPr>
          <c:marker>
            <c:symbol val="none"/>
          </c:marker>
          <c:cat>
            <c:strRef>
              <c:f>Charts!$AB$287:$AU$287</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Charts!$AB$288:$AU$288</c:f>
              <c:numCache>
                <c:formatCode>0%</c:formatCode>
                <c:ptCount val="20"/>
                <c:pt idx="0">
                  <c:v>7.9104601029496013E-3</c:v>
                </c:pt>
                <c:pt idx="1">
                  <c:v>3.4234909675314951E-2</c:v>
                </c:pt>
                <c:pt idx="2">
                  <c:v>1.418708859121609E-2</c:v>
                </c:pt>
                <c:pt idx="3">
                  <c:v>7.2771201826483889E-2</c:v>
                </c:pt>
                <c:pt idx="4">
                  <c:v>2.2970493372342915E-2</c:v>
                </c:pt>
                <c:pt idx="5">
                  <c:v>4.9602356106049239E-2</c:v>
                </c:pt>
                <c:pt idx="6">
                  <c:v>0.12910749101335894</c:v>
                </c:pt>
                <c:pt idx="7">
                  <c:v>0.21343223755544249</c:v>
                </c:pt>
                <c:pt idx="8">
                  <c:v>0.40448533569251621</c:v>
                </c:pt>
                <c:pt idx="9">
                  <c:v>0.45813414753843862</c:v>
                </c:pt>
                <c:pt idx="10">
                  <c:v>0.41820574678160805</c:v>
                </c:pt>
                <c:pt idx="11">
                  <c:v>0.38886113946962308</c:v>
                </c:pt>
                <c:pt idx="12">
                  <c:v>0.29796555930054858</c:v>
                </c:pt>
                <c:pt idx="13">
                  <c:v>0.25152797801392346</c:v>
                </c:pt>
                <c:pt idx="14">
                  <c:v>0.25433727031560771</c:v>
                </c:pt>
                <c:pt idx="15">
                  <c:v>0.23327216569506537</c:v>
                </c:pt>
                <c:pt idx="16">
                  <c:v>0.22961738597627068</c:v>
                </c:pt>
                <c:pt idx="17">
                  <c:v>0.19962193073887713</c:v>
                </c:pt>
                <c:pt idx="18">
                  <c:v>0.17632693684398437</c:v>
                </c:pt>
                <c:pt idx="19">
                  <c:v>0.17313726280755581</c:v>
                </c:pt>
              </c:numCache>
            </c:numRef>
          </c:val>
          <c:smooth val="0"/>
          <c:extLst>
            <c:ext xmlns:c16="http://schemas.microsoft.com/office/drawing/2014/chart" uri="{C3380CC4-5D6E-409C-BE32-E72D297353CC}">
              <c16:uniqueId val="{00000000-6874-433F-958F-FD72D51B42B6}"/>
            </c:ext>
          </c:extLst>
        </c:ser>
        <c:ser>
          <c:idx val="1"/>
          <c:order val="1"/>
          <c:tx>
            <c:strRef>
              <c:f>Charts!$AA$289</c:f>
              <c:strCache>
                <c:ptCount val="1"/>
                <c:pt idx="0">
                  <c:v>DTV Revenue Growth YoY</c:v>
                </c:pt>
              </c:strCache>
            </c:strRef>
          </c:tx>
          <c:spPr>
            <a:ln w="25400" cap="rnd">
              <a:solidFill>
                <a:srgbClr val="99CCFF"/>
              </a:solidFill>
              <a:prstDash val="solid"/>
              <a:round/>
            </a:ln>
            <a:effectLst/>
          </c:spPr>
          <c:marker>
            <c:symbol val="none"/>
          </c:marker>
          <c:cat>
            <c:strRef>
              <c:f>Charts!$AB$287:$AU$287</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Charts!$AB$289:$AU$289</c:f>
              <c:numCache>
                <c:formatCode>0%</c:formatCode>
                <c:ptCount val="20"/>
                <c:pt idx="0">
                  <c:v>-0.23310357215352573</c:v>
                </c:pt>
                <c:pt idx="1">
                  <c:v>-0.42556823538808763</c:v>
                </c:pt>
                <c:pt idx="2">
                  <c:v>7.9650143881180302E-3</c:v>
                </c:pt>
                <c:pt idx="3">
                  <c:v>-4.3656859115672186E-2</c:v>
                </c:pt>
                <c:pt idx="4">
                  <c:v>-3.7397593261042639E-3</c:v>
                </c:pt>
                <c:pt idx="5">
                  <c:v>0.27149306731800471</c:v>
                </c:pt>
                <c:pt idx="6">
                  <c:v>8.6764831716396484E-2</c:v>
                </c:pt>
                <c:pt idx="7">
                  <c:v>5.7042903511858256E-2</c:v>
                </c:pt>
                <c:pt idx="8">
                  <c:v>2.5865142983505507E-3</c:v>
                </c:pt>
                <c:pt idx="9">
                  <c:v>-1.5823934224340919E-2</c:v>
                </c:pt>
                <c:pt idx="10">
                  <c:v>-7.5698110489480164E-2</c:v>
                </c:pt>
                <c:pt idx="11">
                  <c:v>-8.6596381250783283E-2</c:v>
                </c:pt>
                <c:pt idx="12">
                  <c:v>-6.600037752273169E-2</c:v>
                </c:pt>
                <c:pt idx="13">
                  <c:v>-3.4604704438299438E-2</c:v>
                </c:pt>
                <c:pt idx="14">
                  <c:v>-1.0497371599941241E-2</c:v>
                </c:pt>
                <c:pt idx="15">
                  <c:v>3.1079500347393152E-2</c:v>
                </c:pt>
                <c:pt idx="16">
                  <c:v>6.0477607700189173E-2</c:v>
                </c:pt>
                <c:pt idx="17">
                  <c:v>5.5272805953078041E-2</c:v>
                </c:pt>
                <c:pt idx="18">
                  <c:v>4.9676049243782217E-2</c:v>
                </c:pt>
                <c:pt idx="19">
                  <c:v>9.507367925854382E-3</c:v>
                </c:pt>
              </c:numCache>
            </c:numRef>
          </c:val>
          <c:smooth val="0"/>
          <c:extLst>
            <c:ext xmlns:c16="http://schemas.microsoft.com/office/drawing/2014/chart" uri="{C3380CC4-5D6E-409C-BE32-E72D297353CC}">
              <c16:uniqueId val="{00000001-6874-433F-958F-FD72D51B42B6}"/>
            </c:ext>
          </c:extLst>
        </c:ser>
        <c:ser>
          <c:idx val="2"/>
          <c:order val="2"/>
          <c:tx>
            <c:strRef>
              <c:f>Charts!$AA$290</c:f>
              <c:strCache>
                <c:ptCount val="1"/>
                <c:pt idx="0">
                  <c:v>Airtel Business Revenue Growth YoY</c:v>
                </c:pt>
              </c:strCache>
            </c:strRef>
          </c:tx>
          <c:spPr>
            <a:ln w="25400" cap="rnd">
              <a:solidFill>
                <a:srgbClr val="333399"/>
              </a:solidFill>
              <a:prstDash val="lgDash"/>
              <a:round/>
            </a:ln>
            <a:effectLst/>
          </c:spPr>
          <c:marker>
            <c:symbol val="none"/>
          </c:marker>
          <c:cat>
            <c:strRef>
              <c:f>Charts!$AB$287:$AU$287</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Charts!$AB$290:$AU$290</c:f>
              <c:numCache>
                <c:formatCode>0%</c:formatCode>
                <c:ptCount val="20"/>
                <c:pt idx="0">
                  <c:v>6.6212972780335111E-2</c:v>
                </c:pt>
                <c:pt idx="1">
                  <c:v>0.1239205477314016</c:v>
                </c:pt>
                <c:pt idx="2">
                  <c:v>9.1612806401444979E-2</c:v>
                </c:pt>
                <c:pt idx="3">
                  <c:v>7.5305633309227682E-2</c:v>
                </c:pt>
                <c:pt idx="4">
                  <c:v>9.1570568247616002E-2</c:v>
                </c:pt>
                <c:pt idx="5">
                  <c:v>9.6512505056597808E-2</c:v>
                </c:pt>
                <c:pt idx="6">
                  <c:v>8.206377819935029E-2</c:v>
                </c:pt>
                <c:pt idx="7">
                  <c:v>0.1153643687012722</c:v>
                </c:pt>
                <c:pt idx="8">
                  <c:v>0.1337649066449087</c:v>
                </c:pt>
                <c:pt idx="9">
                  <c:v>0.12904471732499845</c:v>
                </c:pt>
                <c:pt idx="10">
                  <c:v>0.15208577447457694</c:v>
                </c:pt>
                <c:pt idx="11">
                  <c:v>0.16751017560891568</c:v>
                </c:pt>
                <c:pt idx="12">
                  <c:v>0.16368176585253802</c:v>
                </c:pt>
                <c:pt idx="13">
                  <c:v>0.14478807146958461</c:v>
                </c:pt>
                <c:pt idx="14">
                  <c:v>0.15780007147951314</c:v>
                </c:pt>
                <c:pt idx="15">
                  <c:v>9.5498446032008744E-2</c:v>
                </c:pt>
                <c:pt idx="16">
                  <c:v>8.7254793231736016E-2</c:v>
                </c:pt>
                <c:pt idx="17">
                  <c:v>0.14141351437194238</c:v>
                </c:pt>
                <c:pt idx="18">
                  <c:v>8.3485770020183203E-2</c:v>
                </c:pt>
                <c:pt idx="19">
                  <c:v>0.10674908393660476</c:v>
                </c:pt>
              </c:numCache>
            </c:numRef>
          </c:val>
          <c:smooth val="0"/>
          <c:extLst>
            <c:ext xmlns:c16="http://schemas.microsoft.com/office/drawing/2014/chart" uri="{C3380CC4-5D6E-409C-BE32-E72D297353CC}">
              <c16:uniqueId val="{00000002-6874-433F-958F-FD72D51B42B6}"/>
            </c:ext>
          </c:extLst>
        </c:ser>
        <c:dLbls>
          <c:showLegendKey val="0"/>
          <c:showVal val="0"/>
          <c:showCatName val="0"/>
          <c:showSerName val="0"/>
          <c:showPercent val="0"/>
          <c:showBubbleSize val="0"/>
        </c:dLbls>
        <c:smooth val="0"/>
        <c:axId val="954923840"/>
        <c:axId val="954921760"/>
      </c:lineChart>
      <c:catAx>
        <c:axId val="9549238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54921760"/>
        <c:crosses val="autoZero"/>
        <c:auto val="1"/>
        <c:lblAlgn val="ctr"/>
        <c:lblOffset val="100"/>
        <c:noMultiLvlLbl val="0"/>
      </c:catAx>
      <c:valAx>
        <c:axId val="95492176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5492384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Charts!$AA$294</c:f>
              <c:strCache>
                <c:ptCount val="1"/>
                <c:pt idx="0">
                  <c:v>Homes Services EBITDA Growth YoY</c:v>
                </c:pt>
              </c:strCache>
            </c:strRef>
          </c:tx>
          <c:spPr>
            <a:ln w="25400" cap="rnd">
              <a:solidFill>
                <a:srgbClr val="333399"/>
              </a:solidFill>
              <a:prstDash val="solid"/>
              <a:round/>
            </a:ln>
            <a:effectLst/>
          </c:spPr>
          <c:marker>
            <c:symbol val="none"/>
          </c:marker>
          <c:cat>
            <c:strRef>
              <c:f>Charts!$AB$293:$AU$293</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Charts!$AB$294:$AU$294</c:f>
              <c:numCache>
                <c:formatCode>0%</c:formatCode>
                <c:ptCount val="20"/>
                <c:pt idx="0">
                  <c:v>0.27844468881107787</c:v>
                </c:pt>
                <c:pt idx="1">
                  <c:v>0.22913058648832441</c:v>
                </c:pt>
                <c:pt idx="2">
                  <c:v>0.39216125423003034</c:v>
                </c:pt>
                <c:pt idx="3">
                  <c:v>0.38586339093484368</c:v>
                </c:pt>
                <c:pt idx="4">
                  <c:v>-4.5842292409545737E-2</c:v>
                </c:pt>
                <c:pt idx="5">
                  <c:v>0.11048669943607425</c:v>
                </c:pt>
                <c:pt idx="6">
                  <c:v>-8.0902923140431571E-2</c:v>
                </c:pt>
                <c:pt idx="7">
                  <c:v>0.10352893224605975</c:v>
                </c:pt>
                <c:pt idx="8">
                  <c:v>0.38292114648322229</c:v>
                </c:pt>
                <c:pt idx="9">
                  <c:v>0.42726171531102719</c:v>
                </c:pt>
                <c:pt idx="10">
                  <c:v>0.52564171554333439</c:v>
                </c:pt>
                <c:pt idx="11">
                  <c:v>0.31865009949722234</c:v>
                </c:pt>
                <c:pt idx="12">
                  <c:v>0.18711976841944966</c:v>
                </c:pt>
                <c:pt idx="13">
                  <c:v>0.15766391890104559</c:v>
                </c:pt>
                <c:pt idx="14">
                  <c:v>0.18943124264062972</c:v>
                </c:pt>
                <c:pt idx="15">
                  <c:v>0.21878634581407863</c:v>
                </c:pt>
                <c:pt idx="16">
                  <c:v>0.23403975450558989</c:v>
                </c:pt>
                <c:pt idx="17">
                  <c:v>0.18807362115786819</c:v>
                </c:pt>
                <c:pt idx="18">
                  <c:v>0.17175702604112142</c:v>
                </c:pt>
                <c:pt idx="19">
                  <c:v>0.18598547684961542</c:v>
                </c:pt>
              </c:numCache>
            </c:numRef>
          </c:val>
          <c:smooth val="0"/>
          <c:extLst>
            <c:ext xmlns:c16="http://schemas.microsoft.com/office/drawing/2014/chart" uri="{C3380CC4-5D6E-409C-BE32-E72D297353CC}">
              <c16:uniqueId val="{00000000-11D2-4EA7-B29C-705E9883E542}"/>
            </c:ext>
          </c:extLst>
        </c:ser>
        <c:ser>
          <c:idx val="1"/>
          <c:order val="1"/>
          <c:tx>
            <c:strRef>
              <c:f>Charts!$AA$295</c:f>
              <c:strCache>
                <c:ptCount val="1"/>
                <c:pt idx="0">
                  <c:v>DTV EBITDA Growth YoY</c:v>
                </c:pt>
              </c:strCache>
            </c:strRef>
          </c:tx>
          <c:spPr>
            <a:ln w="25400" cap="rnd">
              <a:solidFill>
                <a:srgbClr val="99CCFF"/>
              </a:solidFill>
              <a:prstDash val="solid"/>
              <a:round/>
            </a:ln>
            <a:effectLst/>
          </c:spPr>
          <c:marker>
            <c:symbol val="none"/>
          </c:marker>
          <c:cat>
            <c:strRef>
              <c:f>Charts!$AB$293:$AU$293</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Charts!$AB$295:$AU$295</c:f>
              <c:numCache>
                <c:formatCode>0%</c:formatCode>
                <c:ptCount val="20"/>
                <c:pt idx="0">
                  <c:v>0.4220887810832834</c:v>
                </c:pt>
                <c:pt idx="1">
                  <c:v>-7.0740344229334395E-2</c:v>
                </c:pt>
                <c:pt idx="2">
                  <c:v>-4.2171114616053162E-2</c:v>
                </c:pt>
                <c:pt idx="3">
                  <c:v>-4.5670804886748795E-2</c:v>
                </c:pt>
                <c:pt idx="4">
                  <c:v>-2.7424366990836946E-2</c:v>
                </c:pt>
                <c:pt idx="5">
                  <c:v>0.3993524525661285</c:v>
                </c:pt>
                <c:pt idx="6">
                  <c:v>7.5304609945202827E-2</c:v>
                </c:pt>
                <c:pt idx="7">
                  <c:v>-6.9004527817609906E-3</c:v>
                </c:pt>
                <c:pt idx="8">
                  <c:v>5.1761121576257008E-3</c:v>
                </c:pt>
                <c:pt idx="9">
                  <c:v>-2.9980039168560513E-2</c:v>
                </c:pt>
                <c:pt idx="10">
                  <c:v>-0.11834279703916339</c:v>
                </c:pt>
                <c:pt idx="11">
                  <c:v>-0.18111788332706025</c:v>
                </c:pt>
                <c:pt idx="12">
                  <c:v>-0.22311645465974139</c:v>
                </c:pt>
                <c:pt idx="13">
                  <c:v>-0.17581758780110057</c:v>
                </c:pt>
                <c:pt idx="14">
                  <c:v>-0.10785276227574625</c:v>
                </c:pt>
                <c:pt idx="15">
                  <c:v>-3.2033216479304572E-2</c:v>
                </c:pt>
                <c:pt idx="16">
                  <c:v>3.7005527073481925E-2</c:v>
                </c:pt>
                <c:pt idx="17">
                  <c:v>7.5900251382233552E-2</c:v>
                </c:pt>
                <c:pt idx="18">
                  <c:v>3.2411015139008681E-2</c:v>
                </c:pt>
                <c:pt idx="19">
                  <c:v>7.3250648874332303E-3</c:v>
                </c:pt>
              </c:numCache>
            </c:numRef>
          </c:val>
          <c:smooth val="0"/>
          <c:extLst>
            <c:ext xmlns:c16="http://schemas.microsoft.com/office/drawing/2014/chart" uri="{C3380CC4-5D6E-409C-BE32-E72D297353CC}">
              <c16:uniqueId val="{00000001-11D2-4EA7-B29C-705E9883E542}"/>
            </c:ext>
          </c:extLst>
        </c:ser>
        <c:ser>
          <c:idx val="2"/>
          <c:order val="2"/>
          <c:tx>
            <c:strRef>
              <c:f>Charts!$AA$296</c:f>
              <c:strCache>
                <c:ptCount val="1"/>
                <c:pt idx="0">
                  <c:v>Airtel Business EBITDA Growth YoY</c:v>
                </c:pt>
              </c:strCache>
            </c:strRef>
          </c:tx>
          <c:spPr>
            <a:ln w="25400" cap="rnd">
              <a:solidFill>
                <a:srgbClr val="333399"/>
              </a:solidFill>
              <a:prstDash val="lgDash"/>
              <a:round/>
            </a:ln>
            <a:effectLst/>
          </c:spPr>
          <c:marker>
            <c:symbol val="none"/>
          </c:marker>
          <c:cat>
            <c:strRef>
              <c:f>Charts!$AB$293:$AU$293</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Charts!$AB$296:$AU$296</c:f>
              <c:numCache>
                <c:formatCode>0%</c:formatCode>
                <c:ptCount val="20"/>
                <c:pt idx="0">
                  <c:v>0.22794148768728917</c:v>
                </c:pt>
                <c:pt idx="1">
                  <c:v>0.4046934610092876</c:v>
                </c:pt>
                <c:pt idx="2">
                  <c:v>0.66043806079627676</c:v>
                </c:pt>
                <c:pt idx="3">
                  <c:v>0.42828992668107979</c:v>
                </c:pt>
                <c:pt idx="4">
                  <c:v>0.15609343364886952</c:v>
                </c:pt>
                <c:pt idx="5">
                  <c:v>0.10400206811619395</c:v>
                </c:pt>
                <c:pt idx="6">
                  <c:v>0.15530022310262281</c:v>
                </c:pt>
                <c:pt idx="7">
                  <c:v>0.1902195866613936</c:v>
                </c:pt>
                <c:pt idx="8">
                  <c:v>0.12882223463388387</c:v>
                </c:pt>
                <c:pt idx="9">
                  <c:v>0.10654095474211922</c:v>
                </c:pt>
                <c:pt idx="10">
                  <c:v>0.15841755124178136</c:v>
                </c:pt>
                <c:pt idx="11">
                  <c:v>0.14893942362435619</c:v>
                </c:pt>
                <c:pt idx="12">
                  <c:v>0.20386527493890272</c:v>
                </c:pt>
                <c:pt idx="13">
                  <c:v>0.20070008444563459</c:v>
                </c:pt>
                <c:pt idx="14">
                  <c:v>0.17906307771137353</c:v>
                </c:pt>
                <c:pt idx="15">
                  <c:v>0.12486841290413175</c:v>
                </c:pt>
                <c:pt idx="16">
                  <c:v>8.2705986817828814E-2</c:v>
                </c:pt>
                <c:pt idx="17">
                  <c:v>5.8438870408553889E-2</c:v>
                </c:pt>
                <c:pt idx="18">
                  <c:v>-6.2231879764091946E-3</c:v>
                </c:pt>
                <c:pt idx="19">
                  <c:v>-1.7965239984191417E-2</c:v>
                </c:pt>
              </c:numCache>
            </c:numRef>
          </c:val>
          <c:smooth val="0"/>
          <c:extLst>
            <c:ext xmlns:c16="http://schemas.microsoft.com/office/drawing/2014/chart" uri="{C3380CC4-5D6E-409C-BE32-E72D297353CC}">
              <c16:uniqueId val="{00000002-11D2-4EA7-B29C-705E9883E542}"/>
            </c:ext>
          </c:extLst>
        </c:ser>
        <c:dLbls>
          <c:showLegendKey val="0"/>
          <c:showVal val="0"/>
          <c:showCatName val="0"/>
          <c:showSerName val="0"/>
          <c:showPercent val="0"/>
          <c:showBubbleSize val="0"/>
        </c:dLbls>
        <c:smooth val="0"/>
        <c:axId val="1117004576"/>
        <c:axId val="1117017888"/>
      </c:lineChart>
      <c:catAx>
        <c:axId val="111700457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7017888"/>
        <c:crosses val="autoZero"/>
        <c:auto val="1"/>
        <c:lblAlgn val="ctr"/>
        <c:lblOffset val="100"/>
        <c:noMultiLvlLbl val="0"/>
      </c:catAx>
      <c:valAx>
        <c:axId val="111701788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700457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Charts!$AA$306</c:f>
              <c:strCache>
                <c:ptCount val="1"/>
                <c:pt idx="0">
                  <c:v>Homes Services EBITDA Margin</c:v>
                </c:pt>
              </c:strCache>
            </c:strRef>
          </c:tx>
          <c:spPr>
            <a:ln w="25400" cap="rnd">
              <a:solidFill>
                <a:srgbClr val="333399"/>
              </a:solidFill>
              <a:prstDash val="solid"/>
              <a:round/>
            </a:ln>
            <a:effectLst/>
          </c:spPr>
          <c:marker>
            <c:symbol val="none"/>
          </c:marker>
          <c:cat>
            <c:strRef>
              <c:f>Charts!$AB$305:$AU$305</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Charts!$AB$306:$AU$306</c:f>
              <c:numCache>
                <c:formatCode>0%</c:formatCode>
                <c:ptCount val="20"/>
                <c:pt idx="0">
                  <c:v>0.59540510754594644</c:v>
                </c:pt>
                <c:pt idx="1">
                  <c:v>0.5260686232109405</c:v>
                </c:pt>
                <c:pt idx="2">
                  <c:v>0.60732978857640796</c:v>
                </c:pt>
                <c:pt idx="3">
                  <c:v>0.58304481554283172</c:v>
                </c:pt>
                <c:pt idx="4">
                  <c:v>0.55535362572467295</c:v>
                </c:pt>
                <c:pt idx="5">
                  <c:v>0.55658431563902822</c:v>
                </c:pt>
                <c:pt idx="6">
                  <c:v>0.4943683730849609</c:v>
                </c:pt>
                <c:pt idx="7">
                  <c:v>0.5302371264206539</c:v>
                </c:pt>
                <c:pt idx="8">
                  <c:v>0.54682683633153961</c:v>
                </c:pt>
                <c:pt idx="9">
                  <c:v>0.5448000010117261</c:v>
                </c:pt>
                <c:pt idx="10">
                  <c:v>0.53181917682628876</c:v>
                </c:pt>
                <c:pt idx="11">
                  <c:v>0.50343207081071129</c:v>
                </c:pt>
                <c:pt idx="12">
                  <c:v>0.50012802162582259</c:v>
                </c:pt>
                <c:pt idx="13">
                  <c:v>0.50394023567047408</c:v>
                </c:pt>
                <c:pt idx="14">
                  <c:v>0.50430004698293673</c:v>
                </c:pt>
                <c:pt idx="15">
                  <c:v>0.49751883729832919</c:v>
                </c:pt>
                <c:pt idx="16">
                  <c:v>0.50192675222990613</c:v>
                </c:pt>
                <c:pt idx="17">
                  <c:v>0.49908899237229193</c:v>
                </c:pt>
                <c:pt idx="18">
                  <c:v>0.50234089246525238</c:v>
                </c:pt>
                <c:pt idx="19">
                  <c:v>0.50296766985545704</c:v>
                </c:pt>
              </c:numCache>
            </c:numRef>
          </c:val>
          <c:smooth val="0"/>
          <c:extLst>
            <c:ext xmlns:c16="http://schemas.microsoft.com/office/drawing/2014/chart" uri="{C3380CC4-5D6E-409C-BE32-E72D297353CC}">
              <c16:uniqueId val="{00000000-92D9-478F-A270-E57A56725CE1}"/>
            </c:ext>
          </c:extLst>
        </c:ser>
        <c:ser>
          <c:idx val="1"/>
          <c:order val="1"/>
          <c:tx>
            <c:strRef>
              <c:f>Charts!$AA$307</c:f>
              <c:strCache>
                <c:ptCount val="1"/>
                <c:pt idx="0">
                  <c:v>DTV EBITDA Margin</c:v>
                </c:pt>
              </c:strCache>
            </c:strRef>
          </c:tx>
          <c:spPr>
            <a:ln w="25400" cap="rnd">
              <a:solidFill>
                <a:srgbClr val="99CCFF"/>
              </a:solidFill>
              <a:prstDash val="solid"/>
              <a:round/>
            </a:ln>
            <a:effectLst/>
          </c:spPr>
          <c:marker>
            <c:symbol val="none"/>
          </c:marker>
          <c:cat>
            <c:strRef>
              <c:f>Charts!$AB$305:$AU$305</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Charts!$AB$307:$AU$307</c:f>
              <c:numCache>
                <c:formatCode>0%</c:formatCode>
                <c:ptCount val="20"/>
                <c:pt idx="0">
                  <c:v>0.68681048059886907</c:v>
                </c:pt>
                <c:pt idx="1">
                  <c:v>0.60452227576637629</c:v>
                </c:pt>
                <c:pt idx="2">
                  <c:v>0.67682182369248756</c:v>
                </c:pt>
                <c:pt idx="3">
                  <c:v>0.7088803141811727</c:v>
                </c:pt>
                <c:pt idx="4">
                  <c:v>0.67048258141260086</c:v>
                </c:pt>
                <c:pt idx="5">
                  <c:v>0.6653121050898847</c:v>
                </c:pt>
                <c:pt idx="6">
                  <c:v>0.6696845590582895</c:v>
                </c:pt>
                <c:pt idx="7">
                  <c:v>0.66599824539415964</c:v>
                </c:pt>
                <c:pt idx="8">
                  <c:v>0.67221438234224173</c:v>
                </c:pt>
                <c:pt idx="9">
                  <c:v>0.65574244747695609</c:v>
                </c:pt>
                <c:pt idx="10">
                  <c:v>0.6387871991888564</c:v>
                </c:pt>
                <c:pt idx="11">
                  <c:v>0.59707892731545098</c:v>
                </c:pt>
                <c:pt idx="12">
                  <c:v>0.55913544290052752</c:v>
                </c:pt>
                <c:pt idx="13">
                  <c:v>0.55982393391332452</c:v>
                </c:pt>
                <c:pt idx="14">
                  <c:v>0.57593807120191076</c:v>
                </c:pt>
                <c:pt idx="15">
                  <c:v>0.56053152893331637</c:v>
                </c:pt>
                <c:pt idx="16">
                  <c:v>0.54675981884046609</c:v>
                </c:pt>
                <c:pt idx="17">
                  <c:v>0.57076682714585014</c:v>
                </c:pt>
                <c:pt idx="18">
                  <c:v>0.56646506241153005</c:v>
                </c:pt>
                <c:pt idx="19">
                  <c:v>0.55931979963089906</c:v>
                </c:pt>
              </c:numCache>
            </c:numRef>
          </c:val>
          <c:smooth val="0"/>
          <c:extLst>
            <c:ext xmlns:c16="http://schemas.microsoft.com/office/drawing/2014/chart" uri="{C3380CC4-5D6E-409C-BE32-E72D297353CC}">
              <c16:uniqueId val="{00000001-92D9-478F-A270-E57A56725CE1}"/>
            </c:ext>
          </c:extLst>
        </c:ser>
        <c:ser>
          <c:idx val="2"/>
          <c:order val="2"/>
          <c:tx>
            <c:strRef>
              <c:f>Charts!$AA$308</c:f>
              <c:strCache>
                <c:ptCount val="1"/>
                <c:pt idx="0">
                  <c:v>Airtel Business EBITDA Margin</c:v>
                </c:pt>
              </c:strCache>
            </c:strRef>
          </c:tx>
          <c:spPr>
            <a:ln w="25400" cap="rnd">
              <a:solidFill>
                <a:srgbClr val="333399"/>
              </a:solidFill>
              <a:prstDash val="lgDash"/>
              <a:round/>
            </a:ln>
            <a:effectLst/>
          </c:spPr>
          <c:marker>
            <c:symbol val="none"/>
          </c:marker>
          <c:cat>
            <c:strRef>
              <c:f>Charts!$AB$305:$AU$305</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Charts!$AB$308:$AU$308</c:f>
              <c:numCache>
                <c:formatCode>0%</c:formatCode>
                <c:ptCount val="20"/>
                <c:pt idx="0">
                  <c:v>0.36547772266363882</c:v>
                </c:pt>
                <c:pt idx="1">
                  <c:v>0.39886010794125637</c:v>
                </c:pt>
                <c:pt idx="2">
                  <c:v>0.36296658415873262</c:v>
                </c:pt>
                <c:pt idx="3">
                  <c:v>0.37345467281485345</c:v>
                </c:pt>
                <c:pt idx="4">
                  <c:v>0.38708115407938326</c:v>
                </c:pt>
                <c:pt idx="5">
                  <c:v>0.40158446166874001</c:v>
                </c:pt>
                <c:pt idx="6">
                  <c:v>0.38753295702698026</c:v>
                </c:pt>
                <c:pt idx="7">
                  <c:v>0.39851825895427129</c:v>
                </c:pt>
                <c:pt idx="8">
                  <c:v>0.38539366562825011</c:v>
                </c:pt>
                <c:pt idx="9">
                  <c:v>0.39358020705978347</c:v>
                </c:pt>
                <c:pt idx="10">
                  <c:v>0.38966280901213168</c:v>
                </c:pt>
                <c:pt idx="11">
                  <c:v>0.39217931313352211</c:v>
                </c:pt>
                <c:pt idx="12">
                  <c:v>0.39870183141638926</c:v>
                </c:pt>
                <c:pt idx="13">
                  <c:v>0.41129085391226028</c:v>
                </c:pt>
                <c:pt idx="14">
                  <c:v>0.39527664271923357</c:v>
                </c:pt>
                <c:pt idx="15">
                  <c:v>0.40269351648669321</c:v>
                </c:pt>
                <c:pt idx="16">
                  <c:v>0.39703376109904198</c:v>
                </c:pt>
                <c:pt idx="17">
                  <c:v>0.38139221355180697</c:v>
                </c:pt>
                <c:pt idx="18">
                  <c:v>0.36254907331324754</c:v>
                </c:pt>
                <c:pt idx="19">
                  <c:v>0.35731588718946161</c:v>
                </c:pt>
              </c:numCache>
            </c:numRef>
          </c:val>
          <c:smooth val="0"/>
          <c:extLst>
            <c:ext xmlns:c16="http://schemas.microsoft.com/office/drawing/2014/chart" uri="{C3380CC4-5D6E-409C-BE32-E72D297353CC}">
              <c16:uniqueId val="{00000002-92D9-478F-A270-E57A56725CE1}"/>
            </c:ext>
          </c:extLst>
        </c:ser>
        <c:dLbls>
          <c:showLegendKey val="0"/>
          <c:showVal val="0"/>
          <c:showCatName val="0"/>
          <c:showSerName val="0"/>
          <c:showPercent val="0"/>
          <c:showBubbleSize val="0"/>
        </c:dLbls>
        <c:smooth val="0"/>
        <c:axId val="1183609600"/>
        <c:axId val="1183610016"/>
      </c:lineChart>
      <c:catAx>
        <c:axId val="118360960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610016"/>
        <c:crosses val="autoZero"/>
        <c:auto val="1"/>
        <c:lblAlgn val="ctr"/>
        <c:lblOffset val="100"/>
        <c:noMultiLvlLbl val="0"/>
      </c:catAx>
      <c:valAx>
        <c:axId val="1183610016"/>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60960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Charts!$AA$315</c:f>
              <c:strCache>
                <c:ptCount val="1"/>
                <c:pt idx="0">
                  <c:v>EBITDA HS</c:v>
                </c:pt>
              </c:strCache>
            </c:strRef>
          </c:tx>
          <c:spPr>
            <a:solidFill>
              <a:srgbClr val="000080"/>
            </a:solidFill>
            <a:ln w="25400">
              <a:noFill/>
            </a:ln>
            <a:effectLst/>
          </c:spPr>
          <c:invertIfNegative val="0"/>
          <c:cat>
            <c:strRef>
              <c:f>Charts!$AB$314:$AU$314</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Charts!$AB$315:$AU$315</c:f>
              <c:numCache>
                <c:formatCode>#,##0</c:formatCode>
                <c:ptCount val="20"/>
                <c:pt idx="0">
                  <c:v>3302.3405690000022</c:v>
                </c:pt>
                <c:pt idx="1">
                  <c:v>3011.8007570000013</c:v>
                </c:pt>
                <c:pt idx="2">
                  <c:v>3513.7932100000003</c:v>
                </c:pt>
                <c:pt idx="3">
                  <c:v>3424.4684389999989</c:v>
                </c:pt>
                <c:pt idx="4">
                  <c:v>3150.9537069999983</c:v>
                </c:pt>
                <c:pt idx="5">
                  <c:v>3344.5646820000015</c:v>
                </c:pt>
                <c:pt idx="6">
                  <c:v>3229.5170680000001</c:v>
                </c:pt>
                <c:pt idx="7">
                  <c:v>3779</c:v>
                </c:pt>
                <c:pt idx="8">
                  <c:v>4357.5205129999968</c:v>
                </c:pt>
                <c:pt idx="9">
                  <c:v>4773.5691250000027</c:v>
                </c:pt>
                <c:pt idx="10">
                  <c:v>4927.0859599999994</c:v>
                </c:pt>
                <c:pt idx="11">
                  <c:v>4983.1787260000028</c:v>
                </c:pt>
                <c:pt idx="12">
                  <c:v>5172.8987422755572</c:v>
                </c:pt>
                <c:pt idx="13">
                  <c:v>5526.1887403925384</c:v>
                </c:pt>
                <c:pt idx="14">
                  <c:v>5860.4299759999994</c:v>
                </c:pt>
                <c:pt idx="15">
                  <c:v>6073.4301899999991</c:v>
                </c:pt>
                <c:pt idx="16">
                  <c:v>6383.5626940000038</c:v>
                </c:pt>
                <c:pt idx="17">
                  <c:v>6565.5190680000014</c:v>
                </c:pt>
                <c:pt idx="18">
                  <c:v>6867</c:v>
                </c:pt>
                <c:pt idx="19">
                  <c:v>7203</c:v>
                </c:pt>
              </c:numCache>
            </c:numRef>
          </c:val>
          <c:extLst>
            <c:ext xmlns:c16="http://schemas.microsoft.com/office/drawing/2014/chart" uri="{C3380CC4-5D6E-409C-BE32-E72D297353CC}">
              <c16:uniqueId val="{00000000-0928-4EE0-AFAC-B4E6F200356E}"/>
            </c:ext>
          </c:extLst>
        </c:ser>
        <c:ser>
          <c:idx val="1"/>
          <c:order val="1"/>
          <c:tx>
            <c:strRef>
              <c:f>Charts!$AA$316</c:f>
              <c:strCache>
                <c:ptCount val="1"/>
                <c:pt idx="0">
                  <c:v>EBITDA DTV</c:v>
                </c:pt>
              </c:strCache>
            </c:strRef>
          </c:tx>
          <c:spPr>
            <a:solidFill>
              <a:srgbClr val="9999FF"/>
            </a:solidFill>
            <a:ln w="25400">
              <a:noFill/>
            </a:ln>
            <a:effectLst/>
          </c:spPr>
          <c:invertIfNegative val="0"/>
          <c:cat>
            <c:strRef>
              <c:f>Charts!$AB$314:$AU$314</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Charts!$AB$316:$AU$316</c:f>
              <c:numCache>
                <c:formatCode>#,##0</c:formatCode>
                <c:ptCount val="20"/>
                <c:pt idx="0">
                  <c:v>5440.677483999998</c:v>
                </c:pt>
                <c:pt idx="1">
                  <c:v>3648.1673410000021</c:v>
                </c:pt>
                <c:pt idx="2">
                  <c:v>5041.1498350000002</c:v>
                </c:pt>
                <c:pt idx="3">
                  <c:v>5350.9237969999995</c:v>
                </c:pt>
                <c:pt idx="4">
                  <c:v>5291.4703479999989</c:v>
                </c:pt>
                <c:pt idx="5">
                  <c:v>5105.0719160000044</c:v>
                </c:pt>
                <c:pt idx="6">
                  <c:v>5420.7716569999993</c:v>
                </c:pt>
                <c:pt idx="7">
                  <c:v>5314</c:v>
                </c:pt>
                <c:pt idx="8">
                  <c:v>5318.8595919999971</c:v>
                </c:pt>
                <c:pt idx="9">
                  <c:v>4952.0216600000058</c:v>
                </c:pt>
                <c:pt idx="10">
                  <c:v>4779.2623769999991</c:v>
                </c:pt>
                <c:pt idx="11">
                  <c:v>4351.539568000002</c:v>
                </c:pt>
                <c:pt idx="12">
                  <c:v>4132.1344969999991</c:v>
                </c:pt>
                <c:pt idx="13">
                  <c:v>4081.3691570000028</c:v>
                </c:pt>
                <c:pt idx="14">
                  <c:v>4263.8057280000003</c:v>
                </c:pt>
                <c:pt idx="15">
                  <c:v>4212.1457589999982</c:v>
                </c:pt>
                <c:pt idx="16">
                  <c:v>4285.0463120000013</c:v>
                </c:pt>
                <c:pt idx="17">
                  <c:v>4391.1461019999979</c:v>
                </c:pt>
                <c:pt idx="18">
                  <c:v>4402</c:v>
                </c:pt>
                <c:pt idx="19">
                  <c:v>4243</c:v>
                </c:pt>
              </c:numCache>
            </c:numRef>
          </c:val>
          <c:extLst>
            <c:ext xmlns:c16="http://schemas.microsoft.com/office/drawing/2014/chart" uri="{C3380CC4-5D6E-409C-BE32-E72D297353CC}">
              <c16:uniqueId val="{00000001-0928-4EE0-AFAC-B4E6F200356E}"/>
            </c:ext>
          </c:extLst>
        </c:ser>
        <c:ser>
          <c:idx val="2"/>
          <c:order val="2"/>
          <c:tx>
            <c:strRef>
              <c:f>Charts!$AA$317</c:f>
              <c:strCache>
                <c:ptCount val="1"/>
                <c:pt idx="0">
                  <c:v>EBITDA Bus.</c:v>
                </c:pt>
              </c:strCache>
            </c:strRef>
          </c:tx>
          <c:spPr>
            <a:solidFill>
              <a:srgbClr val="3366FF"/>
            </a:solidFill>
            <a:ln w="25400">
              <a:noFill/>
            </a:ln>
            <a:effectLst/>
          </c:spPr>
          <c:invertIfNegative val="0"/>
          <c:cat>
            <c:strRef>
              <c:f>Charts!$AB$314:$AU$314</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Charts!$AB$317:$AU$317</c:f>
              <c:numCache>
                <c:formatCode>#,##0</c:formatCode>
                <c:ptCount val="20"/>
                <c:pt idx="0">
                  <c:v>12125.214719066998</c:v>
                </c:pt>
                <c:pt idx="1">
                  <c:v>13466.498654933986</c:v>
                </c:pt>
                <c:pt idx="2">
                  <c:v>12710.870055566998</c:v>
                </c:pt>
                <c:pt idx="3">
                  <c:v>13377.363453294993</c:v>
                </c:pt>
                <c:pt idx="4">
                  <c:v>14017.881118295978</c:v>
                </c:pt>
                <c:pt idx="5">
                  <c:v>14867.042365331066</c:v>
                </c:pt>
                <c:pt idx="6">
                  <c:v>14684.871011025001</c:v>
                </c:pt>
                <c:pt idx="7">
                  <c:v>15922</c:v>
                </c:pt>
                <c:pt idx="8">
                  <c:v>15823.695888786993</c:v>
                </c:pt>
                <c:pt idx="9">
                  <c:v>16450.991253124972</c:v>
                </c:pt>
                <c:pt idx="10">
                  <c:v>17011.212316893005</c:v>
                </c:pt>
                <c:pt idx="11">
                  <c:v>18293.413502946998</c:v>
                </c:pt>
                <c:pt idx="12">
                  <c:v>19049.598001704137</c:v>
                </c:pt>
                <c:pt idx="13">
                  <c:v>19680.07435161803</c:v>
                </c:pt>
                <c:pt idx="14">
                  <c:v>19979.335158333994</c:v>
                </c:pt>
                <c:pt idx="15">
                  <c:v>20577.683013659003</c:v>
                </c:pt>
                <c:pt idx="16">
                  <c:v>20625.113802918018</c:v>
                </c:pt>
                <c:pt idx="17">
                  <c:v>20830.155666282943</c:v>
                </c:pt>
                <c:pt idx="18">
                  <c:v>19855</c:v>
                </c:pt>
                <c:pt idx="19">
                  <c:v>20208</c:v>
                </c:pt>
              </c:numCache>
            </c:numRef>
          </c:val>
          <c:extLst>
            <c:ext xmlns:c16="http://schemas.microsoft.com/office/drawing/2014/chart" uri="{C3380CC4-5D6E-409C-BE32-E72D297353CC}">
              <c16:uniqueId val="{00000002-0928-4EE0-AFAC-B4E6F200356E}"/>
            </c:ext>
          </c:extLst>
        </c:ser>
        <c:dLbls>
          <c:showLegendKey val="0"/>
          <c:showVal val="0"/>
          <c:showCatName val="0"/>
          <c:showSerName val="0"/>
          <c:showPercent val="0"/>
          <c:showBubbleSize val="0"/>
        </c:dLbls>
        <c:gapWidth val="219"/>
        <c:overlap val="-27"/>
        <c:axId val="879772304"/>
        <c:axId val="879776880"/>
      </c:barChart>
      <c:catAx>
        <c:axId val="879772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9776880"/>
        <c:crosses val="autoZero"/>
        <c:auto val="1"/>
        <c:lblAlgn val="ctr"/>
        <c:lblOffset val="100"/>
        <c:noMultiLvlLbl val="0"/>
      </c:catAx>
      <c:valAx>
        <c:axId val="87977688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977230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Charts!$AA$328</c:f>
              <c:strCache>
                <c:ptCount val="1"/>
                <c:pt idx="0">
                  <c:v>'Other' Indian contribution to Group EBITDA</c:v>
                </c:pt>
              </c:strCache>
            </c:strRef>
          </c:tx>
          <c:spPr>
            <a:ln w="25400" cap="rnd">
              <a:solidFill>
                <a:srgbClr val="333399"/>
              </a:solidFill>
              <a:prstDash val="solid"/>
              <a:round/>
            </a:ln>
            <a:effectLst/>
          </c:spPr>
          <c:marker>
            <c:symbol val="none"/>
          </c:marker>
          <c:cat>
            <c:strRef>
              <c:f>Charts!$AB$327:$AU$327</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Charts!$AB$328:$AU$328</c:f>
              <c:numCache>
                <c:formatCode>0%</c:formatCode>
                <c:ptCount val="20"/>
                <c:pt idx="0">
                  <c:v>0.22318733594680804</c:v>
                </c:pt>
                <c:pt idx="1">
                  <c:v>0.20618844765944749</c:v>
                </c:pt>
                <c:pt idx="2">
                  <c:v>0.21016648028656681</c:v>
                </c:pt>
                <c:pt idx="3">
                  <c:v>0.19675028811761078</c:v>
                </c:pt>
                <c:pt idx="4">
                  <c:v>0.18443771358382446</c:v>
                </c:pt>
                <c:pt idx="5">
                  <c:v>0.18530154702204601</c:v>
                </c:pt>
                <c:pt idx="6">
                  <c:v>0.17692358815431333</c:v>
                </c:pt>
                <c:pt idx="7">
                  <c:v>0.17845295590574772</c:v>
                </c:pt>
                <c:pt idx="8">
                  <c:v>0.17108748243028701</c:v>
                </c:pt>
                <c:pt idx="9">
                  <c:v>0.16361999973825495</c:v>
                </c:pt>
                <c:pt idx="10">
                  <c:v>0.16090645330295456</c:v>
                </c:pt>
                <c:pt idx="11">
                  <c:v>0.15590440713352935</c:v>
                </c:pt>
                <c:pt idx="12">
                  <c:v>0.15243811719112979</c:v>
                </c:pt>
                <c:pt idx="13">
                  <c:v>0.15572977847793909</c:v>
                </c:pt>
                <c:pt idx="14">
                  <c:v>0.15245324829882353</c:v>
                </c:pt>
                <c:pt idx="15">
                  <c:v>0.15694547223313243</c:v>
                </c:pt>
                <c:pt idx="16">
                  <c:v>0.15612308321907684</c:v>
                </c:pt>
                <c:pt idx="17">
                  <c:v>0.16225633200330999</c:v>
                </c:pt>
                <c:pt idx="18">
                  <c:v>0.15605539455079673</c:v>
                </c:pt>
                <c:pt idx="19">
                  <c:v>0.14374526018464276</c:v>
                </c:pt>
              </c:numCache>
            </c:numRef>
          </c:val>
          <c:smooth val="0"/>
          <c:extLst>
            <c:ext xmlns:c16="http://schemas.microsoft.com/office/drawing/2014/chart" uri="{C3380CC4-5D6E-409C-BE32-E72D297353CC}">
              <c16:uniqueId val="{00000000-492B-4F5A-89AE-E40A0C342A14}"/>
            </c:ext>
          </c:extLst>
        </c:ser>
        <c:ser>
          <c:idx val="1"/>
          <c:order val="1"/>
          <c:tx>
            <c:strRef>
              <c:f>Charts!$AA$329</c:f>
              <c:strCache>
                <c:ptCount val="1"/>
                <c:pt idx="0">
                  <c:v>'Other' Indian contribution to Indian EBITDA</c:v>
                </c:pt>
              </c:strCache>
            </c:strRef>
          </c:tx>
          <c:spPr>
            <a:ln w="25400" cap="rnd">
              <a:solidFill>
                <a:srgbClr val="99CCFF"/>
              </a:solidFill>
              <a:prstDash val="solid"/>
              <a:round/>
            </a:ln>
            <a:effectLst/>
          </c:spPr>
          <c:marker>
            <c:symbol val="none"/>
          </c:marker>
          <c:cat>
            <c:strRef>
              <c:f>Charts!$AB$327:$AU$327</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Charts!$AB$329:$AU$329</c:f>
              <c:numCache>
                <c:formatCode>0%</c:formatCode>
                <c:ptCount val="20"/>
                <c:pt idx="0">
                  <c:v>0.22318733594680804</c:v>
                </c:pt>
                <c:pt idx="1">
                  <c:v>0.20618844765944749</c:v>
                </c:pt>
                <c:pt idx="2">
                  <c:v>0.21016648028656681</c:v>
                </c:pt>
                <c:pt idx="3">
                  <c:v>0.19675028811761078</c:v>
                </c:pt>
                <c:pt idx="4">
                  <c:v>0.18443771358382446</c:v>
                </c:pt>
                <c:pt idx="5">
                  <c:v>0.18530154702204601</c:v>
                </c:pt>
                <c:pt idx="6">
                  <c:v>0.17692358815431333</c:v>
                </c:pt>
                <c:pt idx="7">
                  <c:v>0.17845295590574772</c:v>
                </c:pt>
                <c:pt idx="8">
                  <c:v>0.17108748243028701</c:v>
                </c:pt>
                <c:pt idx="9">
                  <c:v>0.16361999973825495</c:v>
                </c:pt>
                <c:pt idx="10">
                  <c:v>0.16090645330295456</c:v>
                </c:pt>
                <c:pt idx="11">
                  <c:v>0.15590440713352935</c:v>
                </c:pt>
                <c:pt idx="12">
                  <c:v>0.15243811719112979</c:v>
                </c:pt>
                <c:pt idx="13">
                  <c:v>0.15572977847793909</c:v>
                </c:pt>
                <c:pt idx="14">
                  <c:v>0.15245324829882353</c:v>
                </c:pt>
                <c:pt idx="15">
                  <c:v>0.15694547223313243</c:v>
                </c:pt>
                <c:pt idx="16">
                  <c:v>0.15612308321907684</c:v>
                </c:pt>
                <c:pt idx="17">
                  <c:v>0.16225633200330999</c:v>
                </c:pt>
                <c:pt idx="18">
                  <c:v>0.15605539455079673</c:v>
                </c:pt>
                <c:pt idx="19">
                  <c:v>0.14374526018464276</c:v>
                </c:pt>
              </c:numCache>
            </c:numRef>
          </c:val>
          <c:smooth val="0"/>
          <c:extLst>
            <c:ext xmlns:c16="http://schemas.microsoft.com/office/drawing/2014/chart" uri="{C3380CC4-5D6E-409C-BE32-E72D297353CC}">
              <c16:uniqueId val="{00000001-492B-4F5A-89AE-E40A0C342A14}"/>
            </c:ext>
          </c:extLst>
        </c:ser>
        <c:dLbls>
          <c:showLegendKey val="0"/>
          <c:showVal val="0"/>
          <c:showCatName val="0"/>
          <c:showSerName val="0"/>
          <c:showPercent val="0"/>
          <c:showBubbleSize val="0"/>
        </c:dLbls>
        <c:smooth val="0"/>
        <c:axId val="1033323008"/>
        <c:axId val="1033303456"/>
      </c:lineChart>
      <c:catAx>
        <c:axId val="10333230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33303456"/>
        <c:crosses val="autoZero"/>
        <c:auto val="1"/>
        <c:lblAlgn val="ctr"/>
        <c:lblOffset val="100"/>
        <c:noMultiLvlLbl val="0"/>
      </c:catAx>
      <c:valAx>
        <c:axId val="1033303456"/>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33323008"/>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'Domestic Mobile Operations'!$Y$121</c:f>
              <c:strCache>
                <c:ptCount val="1"/>
                <c:pt idx="0">
                  <c:v>ARPU</c:v>
                </c:pt>
              </c:strCache>
            </c:strRef>
          </c:tx>
          <c:spPr>
            <a:solidFill>
              <a:srgbClr val="000080"/>
            </a:solidFill>
            <a:ln w="25400">
              <a:noFill/>
            </a:ln>
            <a:effectLst/>
          </c:spPr>
          <c:invertIfNegative val="0"/>
          <c:cat>
            <c:strRef>
              <c:f>'Domestic Mobile Operations'!$AA$120:$AP$120</c:f>
              <c:strCache>
                <c:ptCount val="16"/>
                <c:pt idx="0">
                  <c:v>2Q18</c:v>
                </c:pt>
                <c:pt idx="1">
                  <c:v>3Q18</c:v>
                </c:pt>
                <c:pt idx="2">
                  <c:v>4Q18</c:v>
                </c:pt>
                <c:pt idx="3">
                  <c:v>1Q19</c:v>
                </c:pt>
                <c:pt idx="4">
                  <c:v>2Q19</c:v>
                </c:pt>
                <c:pt idx="5">
                  <c:v>3Q19</c:v>
                </c:pt>
                <c:pt idx="6">
                  <c:v>4Q19</c:v>
                </c:pt>
                <c:pt idx="7">
                  <c:v>1Q20</c:v>
                </c:pt>
                <c:pt idx="8">
                  <c:v>2Q20</c:v>
                </c:pt>
                <c:pt idx="9">
                  <c:v>3Q20</c:v>
                </c:pt>
                <c:pt idx="10">
                  <c:v>4Q20</c:v>
                </c:pt>
                <c:pt idx="11">
                  <c:v>1Q21</c:v>
                </c:pt>
                <c:pt idx="12">
                  <c:v>2Q21</c:v>
                </c:pt>
                <c:pt idx="13">
                  <c:v>3Q21</c:v>
                </c:pt>
                <c:pt idx="14">
                  <c:v>4Q21</c:v>
                </c:pt>
                <c:pt idx="15">
                  <c:v>1Q22</c:v>
                </c:pt>
              </c:strCache>
            </c:strRef>
          </c:cat>
          <c:val>
            <c:numRef>
              <c:f>'Domestic Mobile Operations'!$AA$121:$AP$121</c:f>
              <c:numCache>
                <c:formatCode>_-* #,##0_-;\-* #,##0_-;_-* "-"??_-;_-@_-</c:formatCode>
                <c:ptCount val="16"/>
                <c:pt idx="0">
                  <c:v>145</c:v>
                </c:pt>
                <c:pt idx="1">
                  <c:v>123</c:v>
                </c:pt>
                <c:pt idx="2">
                  <c:v>116</c:v>
                </c:pt>
                <c:pt idx="3">
                  <c:v>105</c:v>
                </c:pt>
                <c:pt idx="4">
                  <c:v>100</c:v>
                </c:pt>
                <c:pt idx="5">
                  <c:v>104</c:v>
                </c:pt>
                <c:pt idx="6">
                  <c:v>123</c:v>
                </c:pt>
                <c:pt idx="7">
                  <c:v>129</c:v>
                </c:pt>
                <c:pt idx="8">
                  <c:v>128</c:v>
                </c:pt>
                <c:pt idx="9">
                  <c:v>134.85133141482592</c:v>
                </c:pt>
                <c:pt idx="10">
                  <c:v>154.07077258806797</c:v>
                </c:pt>
                <c:pt idx="11">
                  <c:v>156.80841376485662</c:v>
                </c:pt>
                <c:pt idx="12">
                  <c:v>162.19167879158945</c:v>
                </c:pt>
                <c:pt idx="13">
                  <c:v>166.08182157874103</c:v>
                </c:pt>
                <c:pt idx="14">
                  <c:v>145.21147435476252</c:v>
                </c:pt>
                <c:pt idx="15">
                  <c:v>146.13644963737531</c:v>
                </c:pt>
              </c:numCache>
            </c:numRef>
          </c:val>
          <c:extLst>
            <c:ext xmlns:c16="http://schemas.microsoft.com/office/drawing/2014/chart" uri="{C3380CC4-5D6E-409C-BE32-E72D297353CC}">
              <c16:uniqueId val="{00000000-253E-41BE-824E-684565BADDD6}"/>
            </c:ext>
          </c:extLst>
        </c:ser>
        <c:dLbls>
          <c:showLegendKey val="0"/>
          <c:showVal val="0"/>
          <c:showCatName val="0"/>
          <c:showSerName val="0"/>
          <c:showPercent val="0"/>
          <c:showBubbleSize val="0"/>
        </c:dLbls>
        <c:gapWidth val="219"/>
        <c:overlap val="-27"/>
        <c:axId val="2082513568"/>
        <c:axId val="2082514552"/>
      </c:barChart>
      <c:lineChart>
        <c:grouping val="standard"/>
        <c:varyColors val="0"/>
        <c:ser>
          <c:idx val="1"/>
          <c:order val="1"/>
          <c:tx>
            <c:strRef>
              <c:f>'Domestic Mobile Operations'!$Y$122</c:f>
              <c:strCache>
                <c:ptCount val="1"/>
                <c:pt idx="0">
                  <c:v>4G % of base</c:v>
                </c:pt>
              </c:strCache>
            </c:strRef>
          </c:tx>
          <c:spPr>
            <a:ln w="25400" cap="rnd">
              <a:solidFill>
                <a:srgbClr val="000080"/>
              </a:solidFill>
              <a:prstDash val="solid"/>
              <a:round/>
            </a:ln>
            <a:effectLst/>
          </c:spPr>
          <c:marker>
            <c:symbol val="none"/>
          </c:marker>
          <c:cat>
            <c:strRef>
              <c:f>'Domestic Mobile Operations'!$AA$120:$AP$120</c:f>
              <c:strCache>
                <c:ptCount val="16"/>
                <c:pt idx="0">
                  <c:v>2Q18</c:v>
                </c:pt>
                <c:pt idx="1">
                  <c:v>3Q18</c:v>
                </c:pt>
                <c:pt idx="2">
                  <c:v>4Q18</c:v>
                </c:pt>
                <c:pt idx="3">
                  <c:v>1Q19</c:v>
                </c:pt>
                <c:pt idx="4">
                  <c:v>2Q19</c:v>
                </c:pt>
                <c:pt idx="5">
                  <c:v>3Q19</c:v>
                </c:pt>
                <c:pt idx="6">
                  <c:v>4Q19</c:v>
                </c:pt>
                <c:pt idx="7">
                  <c:v>1Q20</c:v>
                </c:pt>
                <c:pt idx="8">
                  <c:v>2Q20</c:v>
                </c:pt>
                <c:pt idx="9">
                  <c:v>3Q20</c:v>
                </c:pt>
                <c:pt idx="10">
                  <c:v>4Q20</c:v>
                </c:pt>
                <c:pt idx="11">
                  <c:v>1Q21</c:v>
                </c:pt>
                <c:pt idx="12">
                  <c:v>2Q21</c:v>
                </c:pt>
                <c:pt idx="13">
                  <c:v>3Q21</c:v>
                </c:pt>
                <c:pt idx="14">
                  <c:v>4Q21</c:v>
                </c:pt>
                <c:pt idx="15">
                  <c:v>1Q22</c:v>
                </c:pt>
              </c:strCache>
            </c:strRef>
          </c:cat>
          <c:val>
            <c:numRef>
              <c:f>'Domestic Mobile Operations'!$AA$122:$AP$122</c:f>
              <c:numCache>
                <c:formatCode>0.0%</c:formatCode>
                <c:ptCount val="16"/>
                <c:pt idx="0">
                  <c:v>0.10035915999815634</c:v>
                </c:pt>
                <c:pt idx="1">
                  <c:v>0.12535460320633685</c:v>
                </c:pt>
                <c:pt idx="2">
                  <c:v>0.15734141594782242</c:v>
                </c:pt>
                <c:pt idx="3">
                  <c:v>0.16914419382175735</c:v>
                </c:pt>
                <c:pt idx="4">
                  <c:v>0.19753038189227201</c:v>
                </c:pt>
                <c:pt idx="5">
                  <c:v>0.27115203958366607</c:v>
                </c:pt>
                <c:pt idx="6">
                  <c:v>0.307132748372488</c:v>
                </c:pt>
                <c:pt idx="7">
                  <c:v>0.34381050658015949</c:v>
                </c:pt>
                <c:pt idx="8">
                  <c:v>0.36900475968936763</c:v>
                </c:pt>
                <c:pt idx="9">
                  <c:v>0.43737546228751129</c:v>
                </c:pt>
                <c:pt idx="10">
                  <c:v>0.48052581224904739</c:v>
                </c:pt>
                <c:pt idx="11">
                  <c:v>0.49413779303888594</c:v>
                </c:pt>
                <c:pt idx="12">
                  <c:v>0.51979126800362585</c:v>
                </c:pt>
                <c:pt idx="13">
                  <c:v>0.53784591879148425</c:v>
                </c:pt>
                <c:pt idx="14">
                  <c:v>0.5578958390192148</c:v>
                </c:pt>
                <c:pt idx="15">
                  <c:v>0.57411250967868466</c:v>
                </c:pt>
              </c:numCache>
            </c:numRef>
          </c:val>
          <c:smooth val="0"/>
          <c:extLst>
            <c:ext xmlns:c16="http://schemas.microsoft.com/office/drawing/2014/chart" uri="{C3380CC4-5D6E-409C-BE32-E72D297353CC}">
              <c16:uniqueId val="{00000001-253E-41BE-824E-684565BADDD6}"/>
            </c:ext>
          </c:extLst>
        </c:ser>
        <c:dLbls>
          <c:showLegendKey val="0"/>
          <c:showVal val="0"/>
          <c:showCatName val="0"/>
          <c:showSerName val="0"/>
          <c:showPercent val="0"/>
          <c:showBubbleSize val="0"/>
        </c:dLbls>
        <c:marker val="1"/>
        <c:smooth val="0"/>
        <c:axId val="2082505696"/>
        <c:axId val="2082508648"/>
      </c:lineChart>
      <c:catAx>
        <c:axId val="2082513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2082514552"/>
        <c:crosses val="autoZero"/>
        <c:auto val="1"/>
        <c:lblAlgn val="ctr"/>
        <c:lblOffset val="100"/>
        <c:noMultiLvlLbl val="0"/>
      </c:catAx>
      <c:valAx>
        <c:axId val="2082514552"/>
        <c:scaling>
          <c:orientation val="minMax"/>
        </c:scaling>
        <c:delete val="0"/>
        <c:axPos val="l"/>
        <c:majorGridlines>
          <c:spPr>
            <a:ln w="3175" cap="flat" cmpd="sng" algn="ctr">
              <a:solidFill>
                <a:srgbClr val="C0C0C0"/>
              </a:solidFill>
              <a:prstDash val="solid"/>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2082513568"/>
        <c:crosses val="autoZero"/>
        <c:crossBetween val="between"/>
      </c:valAx>
      <c:valAx>
        <c:axId val="2082508648"/>
        <c:scaling>
          <c:orientation val="minMax"/>
        </c:scaling>
        <c:delete val="0"/>
        <c:axPos val="r"/>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2082505696"/>
        <c:crosses val="max"/>
        <c:crossBetween val="between"/>
      </c:valAx>
      <c:catAx>
        <c:axId val="2082505696"/>
        <c:scaling>
          <c:orientation val="minMax"/>
        </c:scaling>
        <c:delete val="1"/>
        <c:axPos val="b"/>
        <c:numFmt formatCode="General" sourceLinked="1"/>
        <c:majorTickMark val="none"/>
        <c:minorTickMark val="none"/>
        <c:tickLblPos val="nextTo"/>
        <c:crossAx val="2082508648"/>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Charts!$AA$348</c:f>
              <c:strCache>
                <c:ptCount val="1"/>
                <c:pt idx="0">
                  <c:v>Implied voice Revenues</c:v>
                </c:pt>
              </c:strCache>
            </c:strRef>
          </c:tx>
          <c:spPr>
            <a:solidFill>
              <a:srgbClr val="000080"/>
            </a:solidFill>
            <a:ln w="25400">
              <a:noFill/>
            </a:ln>
            <a:effectLst/>
          </c:spPr>
          <c:invertIfNegative val="0"/>
          <c:cat>
            <c:strRef>
              <c:f>Charts!$AB$347:$AU$347</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Charts!$AB$348:$AU$348</c:f>
              <c:numCache>
                <c:formatCode>#,##0</c:formatCode>
                <c:ptCount val="20"/>
                <c:pt idx="0">
                  <c:v>352.37886954051913</c:v>
                </c:pt>
                <c:pt idx="1">
                  <c:v>352.2841936017054</c:v>
                </c:pt>
                <c:pt idx="2">
                  <c:v>344.43767997401858</c:v>
                </c:pt>
                <c:pt idx="3">
                  <c:v>337.91663020023208</c:v>
                </c:pt>
                <c:pt idx="4">
                  <c:v>315.08295449185329</c:v>
                </c:pt>
                <c:pt idx="5">
                  <c:v>321.68560771926957</c:v>
                </c:pt>
                <c:pt idx="6">
                  <c:v>336.64626376592634</c:v>
                </c:pt>
                <c:pt idx="7">
                  <c:v>353.02293269106258</c:v>
                </c:pt>
                <c:pt idx="8">
                  <c:v>378.7794745344803</c:v>
                </c:pt>
                <c:pt idx="9">
                  <c:v>398.96430659512163</c:v>
                </c:pt>
                <c:pt idx="10">
                  <c:v>403.31695594539366</c:v>
                </c:pt>
                <c:pt idx="11">
                  <c:v>411.11252582821714</c:v>
                </c:pt>
                <c:pt idx="12">
                  <c:v>408.89751898771448</c:v>
                </c:pt>
                <c:pt idx="13">
                  <c:v>411.58730758871945</c:v>
                </c:pt>
                <c:pt idx="14">
                  <c:v>412.92813793654517</c:v>
                </c:pt>
                <c:pt idx="15">
                  <c:v>409.35413380853373</c:v>
                </c:pt>
                <c:pt idx="16">
                  <c:v>401.04256986185584</c:v>
                </c:pt>
                <c:pt idx="17">
                  <c:v>388.5091065251957</c:v>
                </c:pt>
                <c:pt idx="18">
                  <c:v>376.37849163558633</c:v>
                </c:pt>
                <c:pt idx="19">
                  <c:v>365.66058805510107</c:v>
                </c:pt>
              </c:numCache>
            </c:numRef>
          </c:val>
          <c:extLst>
            <c:ext xmlns:c16="http://schemas.microsoft.com/office/drawing/2014/chart" uri="{C3380CC4-5D6E-409C-BE32-E72D297353CC}">
              <c16:uniqueId val="{00000000-5588-47CA-B01D-C439DBE7196C}"/>
            </c:ext>
          </c:extLst>
        </c:ser>
        <c:ser>
          <c:idx val="1"/>
          <c:order val="1"/>
          <c:tx>
            <c:strRef>
              <c:f>Charts!$AA$349</c:f>
              <c:strCache>
                <c:ptCount val="1"/>
                <c:pt idx="0">
                  <c:v>Implied Data Revenues</c:v>
                </c:pt>
              </c:strCache>
            </c:strRef>
          </c:tx>
          <c:spPr>
            <a:solidFill>
              <a:srgbClr val="9999FF"/>
            </a:solidFill>
            <a:ln w="25400">
              <a:noFill/>
            </a:ln>
            <a:effectLst/>
          </c:spPr>
          <c:invertIfNegative val="0"/>
          <c:cat>
            <c:strRef>
              <c:f>Charts!$AB$347:$AU$347</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Charts!$AB$349:$AU$349</c:f>
              <c:numCache>
                <c:formatCode>#,##0</c:formatCode>
                <c:ptCount val="20"/>
                <c:pt idx="0">
                  <c:v>5193.9970804594832</c:v>
                </c:pt>
                <c:pt idx="1">
                  <c:v>5372.8258473982951</c:v>
                </c:pt>
                <c:pt idx="2">
                  <c:v>5441.2051060259819</c:v>
                </c:pt>
                <c:pt idx="3">
                  <c:v>5535.5056997997672</c:v>
                </c:pt>
                <c:pt idx="4">
                  <c:v>5358.6959875081457</c:v>
                </c:pt>
                <c:pt idx="5">
                  <c:v>5687.4033802807317</c:v>
                </c:pt>
                <c:pt idx="6">
                  <c:v>6195.9663462340741</c:v>
                </c:pt>
                <c:pt idx="7">
                  <c:v>6773.977067308937</c:v>
                </c:pt>
                <c:pt idx="8">
                  <c:v>7589.9598474655177</c:v>
                </c:pt>
                <c:pt idx="9">
                  <c:v>8363.0935424048785</c:v>
                </c:pt>
                <c:pt idx="10">
                  <c:v>8861.2717890546046</c:v>
                </c:pt>
                <c:pt idx="11">
                  <c:v>9487.3008151717859</c:v>
                </c:pt>
                <c:pt idx="12">
                  <c:v>9934.2516720122858</c:v>
                </c:pt>
                <c:pt idx="13">
                  <c:v>10554.373235411278</c:v>
                </c:pt>
                <c:pt idx="14">
                  <c:v>11207.990819063454</c:v>
                </c:pt>
                <c:pt idx="15">
                  <c:v>11798.083524191466</c:v>
                </c:pt>
                <c:pt idx="16">
                  <c:v>12317.073501138142</c:v>
                </c:pt>
                <c:pt idx="17">
                  <c:v>12766.497652474807</c:v>
                </c:pt>
                <c:pt idx="18">
                  <c:v>13293.621508364413</c:v>
                </c:pt>
                <c:pt idx="19">
                  <c:v>13955.339411944899</c:v>
                </c:pt>
              </c:numCache>
            </c:numRef>
          </c:val>
          <c:extLst>
            <c:ext xmlns:c16="http://schemas.microsoft.com/office/drawing/2014/chart" uri="{C3380CC4-5D6E-409C-BE32-E72D297353CC}">
              <c16:uniqueId val="{00000001-5588-47CA-B01D-C439DBE7196C}"/>
            </c:ext>
          </c:extLst>
        </c:ser>
        <c:dLbls>
          <c:showLegendKey val="0"/>
          <c:showVal val="0"/>
          <c:showCatName val="0"/>
          <c:showSerName val="0"/>
          <c:showPercent val="0"/>
          <c:showBubbleSize val="0"/>
        </c:dLbls>
        <c:gapWidth val="150"/>
        <c:overlap val="100"/>
        <c:axId val="1183439456"/>
        <c:axId val="1183447776"/>
      </c:barChart>
      <c:catAx>
        <c:axId val="1183439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447776"/>
        <c:crosses val="autoZero"/>
        <c:auto val="1"/>
        <c:lblAlgn val="ctr"/>
        <c:lblOffset val="100"/>
        <c:noMultiLvlLbl val="0"/>
      </c:catAx>
      <c:valAx>
        <c:axId val="1183447776"/>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43945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Charts!$AA$366</c:f>
              <c:strCache>
                <c:ptCount val="1"/>
                <c:pt idx="0">
                  <c:v>Digital TV Subscribers</c:v>
                </c:pt>
              </c:strCache>
            </c:strRef>
          </c:tx>
          <c:spPr>
            <a:solidFill>
              <a:schemeClr val="accent5">
                <a:lumMod val="75000"/>
              </a:schemeClr>
            </a:solidFill>
            <a:ln>
              <a:noFill/>
            </a:ln>
            <a:effectLst/>
          </c:spPr>
          <c:invertIfNegative val="0"/>
          <c:cat>
            <c:strRef>
              <c:f>Charts!$AB$365:$AU$365</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Charts!$AB$366:$AU$366</c:f>
              <c:numCache>
                <c:formatCode>#,##0</c:formatCode>
                <c:ptCount val="20"/>
                <c:pt idx="0">
                  <c:v>16308.467777225882</c:v>
                </c:pt>
                <c:pt idx="1">
                  <c:v>16612.594777225881</c:v>
                </c:pt>
                <c:pt idx="2">
                  <c:v>16838.248777225883</c:v>
                </c:pt>
                <c:pt idx="3">
                  <c:v>17386.908777225883</c:v>
                </c:pt>
                <c:pt idx="4">
                  <c:v>17872.266584455479</c:v>
                </c:pt>
                <c:pt idx="5">
                  <c:v>17716.126777225883</c:v>
                </c:pt>
                <c:pt idx="6">
                  <c:v>17998.513777225882</c:v>
                </c:pt>
                <c:pt idx="7">
                  <c:v>17987.347000000002</c:v>
                </c:pt>
                <c:pt idx="8">
                  <c:v>18066.136999999999</c:v>
                </c:pt>
                <c:pt idx="9">
                  <c:v>17558.239000000001</c:v>
                </c:pt>
                <c:pt idx="10">
                  <c:v>15705.246999999999</c:v>
                </c:pt>
                <c:pt idx="11">
                  <c:v>15770.837</c:v>
                </c:pt>
                <c:pt idx="12">
                  <c:v>15985.056</c:v>
                </c:pt>
                <c:pt idx="13">
                  <c:v>15945.659</c:v>
                </c:pt>
                <c:pt idx="14">
                  <c:v>15918.012000000001</c:v>
                </c:pt>
                <c:pt idx="15">
                  <c:v>15749.462</c:v>
                </c:pt>
                <c:pt idx="16">
                  <c:v>16137.174000000001</c:v>
                </c:pt>
                <c:pt idx="17">
                  <c:v>16146.321</c:v>
                </c:pt>
                <c:pt idx="18">
                  <c:v>16340.511</c:v>
                </c:pt>
                <c:pt idx="19">
                  <c:v>15794.24</c:v>
                </c:pt>
              </c:numCache>
            </c:numRef>
          </c:val>
          <c:extLst>
            <c:ext xmlns:c16="http://schemas.microsoft.com/office/drawing/2014/chart" uri="{C3380CC4-5D6E-409C-BE32-E72D297353CC}">
              <c16:uniqueId val="{00000000-F084-4CBC-AEED-E51BF23C1887}"/>
            </c:ext>
          </c:extLst>
        </c:ser>
        <c:dLbls>
          <c:showLegendKey val="0"/>
          <c:showVal val="0"/>
          <c:showCatName val="0"/>
          <c:showSerName val="0"/>
          <c:showPercent val="0"/>
          <c:showBubbleSize val="0"/>
        </c:dLbls>
        <c:gapWidth val="219"/>
        <c:overlap val="-27"/>
        <c:axId val="954962944"/>
        <c:axId val="954981664"/>
      </c:barChart>
      <c:lineChart>
        <c:grouping val="standard"/>
        <c:varyColors val="0"/>
        <c:ser>
          <c:idx val="1"/>
          <c:order val="1"/>
          <c:tx>
            <c:strRef>
              <c:f>Charts!$AA$367</c:f>
              <c:strCache>
                <c:ptCount val="1"/>
                <c:pt idx="0">
                  <c:v>Digital TV ARPU (INR)</c:v>
                </c:pt>
              </c:strCache>
            </c:strRef>
          </c:tx>
          <c:spPr>
            <a:ln w="28575" cap="rnd">
              <a:solidFill>
                <a:schemeClr val="accent2"/>
              </a:solidFill>
              <a:round/>
            </a:ln>
            <a:effectLst/>
          </c:spPr>
          <c:marker>
            <c:symbol val="none"/>
          </c:marker>
          <c:cat>
            <c:strRef>
              <c:f>Charts!$AB$365:$AU$365</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Charts!$AB$367:$AU$367</c:f>
              <c:numCache>
                <c:formatCode>#,##0</c:formatCode>
                <c:ptCount val="20"/>
                <c:pt idx="0">
                  <c:v>162.46205784245794</c:v>
                </c:pt>
                <c:pt idx="1">
                  <c:v>122.65647839875182</c:v>
                </c:pt>
                <c:pt idx="2">
                  <c:v>148.78737382368561</c:v>
                </c:pt>
                <c:pt idx="3">
                  <c:v>147.74965710473782</c:v>
                </c:pt>
                <c:pt idx="4">
                  <c:v>148.89064853169856</c:v>
                </c:pt>
                <c:pt idx="5">
                  <c:v>143.83367944917575</c:v>
                </c:pt>
                <c:pt idx="6">
                  <c:v>150.73213838392522</c:v>
                </c:pt>
                <c:pt idx="7">
                  <c:v>147.79462519114006</c:v>
                </c:pt>
                <c:pt idx="8">
                  <c:v>145.98991833253771</c:v>
                </c:pt>
                <c:pt idx="9">
                  <c:v>141.73458747850034</c:v>
                </c:pt>
                <c:pt idx="10">
                  <c:v>157.58709845704288</c:v>
                </c:pt>
                <c:pt idx="11">
                  <c:v>154.96252504091342</c:v>
                </c:pt>
                <c:pt idx="12">
                  <c:v>153.9993376767836</c:v>
                </c:pt>
                <c:pt idx="13">
                  <c:v>152.55903994199357</c:v>
                </c:pt>
                <c:pt idx="14">
                  <c:v>153.84560873706252</c:v>
                </c:pt>
                <c:pt idx="15">
                  <c:v>158.95802065141902</c:v>
                </c:pt>
                <c:pt idx="16">
                  <c:v>162.97802204201233</c:v>
                </c:pt>
                <c:pt idx="17">
                  <c:v>160.07840843104452</c:v>
                </c:pt>
                <c:pt idx="18">
                  <c:v>159.15326568388906</c:v>
                </c:pt>
                <c:pt idx="19">
                  <c:v>157.82629210205906</c:v>
                </c:pt>
              </c:numCache>
            </c:numRef>
          </c:val>
          <c:smooth val="0"/>
          <c:extLst>
            <c:ext xmlns:c16="http://schemas.microsoft.com/office/drawing/2014/chart" uri="{C3380CC4-5D6E-409C-BE32-E72D297353CC}">
              <c16:uniqueId val="{00000001-F084-4CBC-AEED-E51BF23C1887}"/>
            </c:ext>
          </c:extLst>
        </c:ser>
        <c:dLbls>
          <c:showLegendKey val="0"/>
          <c:showVal val="0"/>
          <c:showCatName val="0"/>
          <c:showSerName val="0"/>
          <c:showPercent val="0"/>
          <c:showBubbleSize val="0"/>
        </c:dLbls>
        <c:marker val="1"/>
        <c:smooth val="0"/>
        <c:axId val="954972928"/>
        <c:axId val="954962528"/>
      </c:lineChart>
      <c:catAx>
        <c:axId val="954962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54981664"/>
        <c:crosses val="autoZero"/>
        <c:auto val="1"/>
        <c:lblAlgn val="ctr"/>
        <c:lblOffset val="100"/>
        <c:noMultiLvlLbl val="0"/>
      </c:catAx>
      <c:valAx>
        <c:axId val="954981664"/>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54962944"/>
        <c:crosses val="autoZero"/>
        <c:crossBetween val="between"/>
      </c:valAx>
      <c:valAx>
        <c:axId val="95496252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54972928"/>
        <c:crosses val="max"/>
        <c:crossBetween val="between"/>
      </c:valAx>
      <c:catAx>
        <c:axId val="954972928"/>
        <c:scaling>
          <c:orientation val="minMax"/>
        </c:scaling>
        <c:delete val="1"/>
        <c:axPos val="b"/>
        <c:numFmt formatCode="General" sourceLinked="1"/>
        <c:majorTickMark val="out"/>
        <c:minorTickMark val="none"/>
        <c:tickLblPos val="nextTo"/>
        <c:crossAx val="954962528"/>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Charts!$AA$387</c:f>
              <c:strCache>
                <c:ptCount val="1"/>
                <c:pt idx="0">
                  <c:v>Capex as % of sales HS</c:v>
                </c:pt>
              </c:strCache>
            </c:strRef>
          </c:tx>
          <c:spPr>
            <a:ln w="25400" cap="rnd">
              <a:solidFill>
                <a:srgbClr val="333399"/>
              </a:solidFill>
              <a:prstDash val="solid"/>
              <a:round/>
            </a:ln>
            <a:effectLst/>
          </c:spPr>
          <c:marker>
            <c:symbol val="none"/>
          </c:marker>
          <c:cat>
            <c:strRef>
              <c:f>Charts!$AB$386:$AU$386</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Charts!$AB$387:$AU$387</c:f>
              <c:numCache>
                <c:formatCode>0%</c:formatCode>
                <c:ptCount val="20"/>
                <c:pt idx="0">
                  <c:v>0.47968460533260454</c:v>
                </c:pt>
                <c:pt idx="1">
                  <c:v>0.17001831769770065</c:v>
                </c:pt>
                <c:pt idx="2">
                  <c:v>0.20423279810075717</c:v>
                </c:pt>
                <c:pt idx="3">
                  <c:v>0.52552609823534879</c:v>
                </c:pt>
                <c:pt idx="4">
                  <c:v>0.60204690823820117</c:v>
                </c:pt>
                <c:pt idx="5">
                  <c:v>0.5532772427602769</c:v>
                </c:pt>
                <c:pt idx="6">
                  <c:v>0.59577601482309461</c:v>
                </c:pt>
                <c:pt idx="7">
                  <c:v>0.49109022028904165</c:v>
                </c:pt>
                <c:pt idx="8">
                  <c:v>0.50974583404220364</c:v>
                </c:pt>
                <c:pt idx="9">
                  <c:v>0.56696600626587756</c:v>
                </c:pt>
                <c:pt idx="10">
                  <c:v>0.7128152157679396</c:v>
                </c:pt>
                <c:pt idx="11">
                  <c:v>0.59465552122216869</c:v>
                </c:pt>
                <c:pt idx="12">
                  <c:v>0.48013648124788977</c:v>
                </c:pt>
                <c:pt idx="13">
                  <c:v>0.39029975101556441</c:v>
                </c:pt>
                <c:pt idx="14">
                  <c:v>0.42983900803995173</c:v>
                </c:pt>
                <c:pt idx="15">
                  <c:v>0.62007081671674824</c:v>
                </c:pt>
                <c:pt idx="16">
                  <c:v>0.61461503940560802</c:v>
                </c:pt>
                <c:pt idx="17">
                  <c:v>0.62006800383909766</c:v>
                </c:pt>
                <c:pt idx="18">
                  <c:v>0.51735816079762809</c:v>
                </c:pt>
                <c:pt idx="19">
                  <c:v>0.66057268605907404</c:v>
                </c:pt>
              </c:numCache>
            </c:numRef>
          </c:val>
          <c:smooth val="0"/>
          <c:extLst>
            <c:ext xmlns:c16="http://schemas.microsoft.com/office/drawing/2014/chart" uri="{C3380CC4-5D6E-409C-BE32-E72D297353CC}">
              <c16:uniqueId val="{00000000-6DF6-4558-A1A6-E5E44D443806}"/>
            </c:ext>
          </c:extLst>
        </c:ser>
        <c:ser>
          <c:idx val="1"/>
          <c:order val="1"/>
          <c:tx>
            <c:strRef>
              <c:f>Charts!$AA$388</c:f>
              <c:strCache>
                <c:ptCount val="1"/>
                <c:pt idx="0">
                  <c:v>Capex as % of sales DTV</c:v>
                </c:pt>
              </c:strCache>
            </c:strRef>
          </c:tx>
          <c:spPr>
            <a:ln w="25400" cap="rnd">
              <a:solidFill>
                <a:srgbClr val="99CCFF"/>
              </a:solidFill>
              <a:prstDash val="solid"/>
              <a:round/>
            </a:ln>
            <a:effectLst/>
          </c:spPr>
          <c:marker>
            <c:symbol val="none"/>
          </c:marker>
          <c:cat>
            <c:strRef>
              <c:f>Charts!$AB$386:$AU$386</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Charts!$AB$388:$AU$388</c:f>
              <c:numCache>
                <c:formatCode>0%</c:formatCode>
                <c:ptCount val="20"/>
                <c:pt idx="0">
                  <c:v>0.44301416588739906</c:v>
                </c:pt>
                <c:pt idx="1">
                  <c:v>0.4166465831948778</c:v>
                </c:pt>
                <c:pt idx="2">
                  <c:v>0.32990354176558856</c:v>
                </c:pt>
                <c:pt idx="3">
                  <c:v>0.45957299148794928</c:v>
                </c:pt>
                <c:pt idx="4">
                  <c:v>0.4088056873060506</c:v>
                </c:pt>
                <c:pt idx="5">
                  <c:v>0.4809436246725356</c:v>
                </c:pt>
                <c:pt idx="6">
                  <c:v>0.36216998856041266</c:v>
                </c:pt>
                <c:pt idx="7">
                  <c:v>0.32322346158666498</c:v>
                </c:pt>
                <c:pt idx="8">
                  <c:v>0.5527704715932904</c:v>
                </c:pt>
                <c:pt idx="9">
                  <c:v>0.41623268075646225</c:v>
                </c:pt>
                <c:pt idx="10">
                  <c:v>0.33008731771294314</c:v>
                </c:pt>
                <c:pt idx="11">
                  <c:v>0.41899308173194805</c:v>
                </c:pt>
                <c:pt idx="12">
                  <c:v>0.61352221967628584</c:v>
                </c:pt>
                <c:pt idx="13">
                  <c:v>0.48614509552627627</c:v>
                </c:pt>
                <c:pt idx="14">
                  <c:v>0.51910856988497323</c:v>
                </c:pt>
                <c:pt idx="15">
                  <c:v>0.49966112862129547</c:v>
                </c:pt>
                <c:pt idx="16">
                  <c:v>0.47425495547617941</c:v>
                </c:pt>
                <c:pt idx="17">
                  <c:v>0.39913125762350221</c:v>
                </c:pt>
                <c:pt idx="18">
                  <c:v>0.52478428181701198</c:v>
                </c:pt>
                <c:pt idx="19">
                  <c:v>0.56046307447930399</c:v>
                </c:pt>
              </c:numCache>
            </c:numRef>
          </c:val>
          <c:smooth val="0"/>
          <c:extLst>
            <c:ext xmlns:c16="http://schemas.microsoft.com/office/drawing/2014/chart" uri="{C3380CC4-5D6E-409C-BE32-E72D297353CC}">
              <c16:uniqueId val="{00000001-6DF6-4558-A1A6-E5E44D443806}"/>
            </c:ext>
          </c:extLst>
        </c:ser>
        <c:ser>
          <c:idx val="2"/>
          <c:order val="2"/>
          <c:tx>
            <c:strRef>
              <c:f>Charts!$AA$389</c:f>
              <c:strCache>
                <c:ptCount val="1"/>
                <c:pt idx="0">
                  <c:v>Capex as % of sales Bus.</c:v>
                </c:pt>
              </c:strCache>
            </c:strRef>
          </c:tx>
          <c:spPr>
            <a:ln w="25400" cap="rnd">
              <a:solidFill>
                <a:srgbClr val="333399"/>
              </a:solidFill>
              <a:prstDash val="lgDash"/>
              <a:round/>
            </a:ln>
            <a:effectLst/>
          </c:spPr>
          <c:marker>
            <c:symbol val="none"/>
          </c:marker>
          <c:cat>
            <c:strRef>
              <c:f>Charts!$AB$386:$AU$386</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Charts!$AB$389:$AU$389</c:f>
              <c:numCache>
                <c:formatCode>0%</c:formatCode>
                <c:ptCount val="20"/>
                <c:pt idx="0">
                  <c:v>0.22991063414520085</c:v>
                </c:pt>
                <c:pt idx="1">
                  <c:v>0.55724580753745079</c:v>
                </c:pt>
                <c:pt idx="2">
                  <c:v>0.11958743046466967</c:v>
                </c:pt>
                <c:pt idx="3">
                  <c:v>0.15460003578578838</c:v>
                </c:pt>
                <c:pt idx="4">
                  <c:v>0.14423048623479229</c:v>
                </c:pt>
                <c:pt idx="5">
                  <c:v>0.1892488220731903</c:v>
                </c:pt>
                <c:pt idx="6">
                  <c:v>0.17330791819164187</c:v>
                </c:pt>
                <c:pt idx="7">
                  <c:v>0.140715340525117</c:v>
                </c:pt>
                <c:pt idx="8">
                  <c:v>0.20379867334449828</c:v>
                </c:pt>
                <c:pt idx="9">
                  <c:v>0.20283999490857788</c:v>
                </c:pt>
                <c:pt idx="10">
                  <c:v>0.15715783840317671</c:v>
                </c:pt>
                <c:pt idx="11">
                  <c:v>0.18849373518438414</c:v>
                </c:pt>
                <c:pt idx="12">
                  <c:v>0.16032873999452465</c:v>
                </c:pt>
                <c:pt idx="13">
                  <c:v>0.32599812308314052</c:v>
                </c:pt>
                <c:pt idx="14">
                  <c:v>0.1214707967739279</c:v>
                </c:pt>
                <c:pt idx="15">
                  <c:v>0.18792175889953375</c:v>
                </c:pt>
                <c:pt idx="16">
                  <c:v>0.16458728223823108</c:v>
                </c:pt>
                <c:pt idx="17">
                  <c:v>0.24869052351782581</c:v>
                </c:pt>
                <c:pt idx="18">
                  <c:v>0.14937742666343215</c:v>
                </c:pt>
                <c:pt idx="19">
                  <c:v>0.15924633758110429</c:v>
                </c:pt>
              </c:numCache>
            </c:numRef>
          </c:val>
          <c:smooth val="0"/>
          <c:extLst>
            <c:ext xmlns:c16="http://schemas.microsoft.com/office/drawing/2014/chart" uri="{C3380CC4-5D6E-409C-BE32-E72D297353CC}">
              <c16:uniqueId val="{00000002-6DF6-4558-A1A6-E5E44D443806}"/>
            </c:ext>
          </c:extLst>
        </c:ser>
        <c:dLbls>
          <c:showLegendKey val="0"/>
          <c:showVal val="0"/>
          <c:showCatName val="0"/>
          <c:showSerName val="0"/>
          <c:showPercent val="0"/>
          <c:showBubbleSize val="0"/>
        </c:dLbls>
        <c:smooth val="0"/>
        <c:axId val="879768976"/>
        <c:axId val="879771056"/>
      </c:lineChart>
      <c:catAx>
        <c:axId val="87976897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9771056"/>
        <c:crosses val="autoZero"/>
        <c:auto val="1"/>
        <c:lblAlgn val="ctr"/>
        <c:lblOffset val="100"/>
        <c:noMultiLvlLbl val="0"/>
      </c:catAx>
      <c:valAx>
        <c:axId val="879771056"/>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976897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Charts!$AA$394</c:f>
              <c:strCache>
                <c:ptCount val="1"/>
                <c:pt idx="0">
                  <c:v>Operating Free Cash Flow HS</c:v>
                </c:pt>
              </c:strCache>
            </c:strRef>
          </c:tx>
          <c:spPr>
            <a:solidFill>
              <a:srgbClr val="000080"/>
            </a:solidFill>
            <a:ln w="25400">
              <a:noFill/>
            </a:ln>
            <a:effectLst/>
          </c:spPr>
          <c:invertIfNegative val="0"/>
          <c:cat>
            <c:strRef>
              <c:f>Charts!$AB$393:$AU$393</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Charts!$AB$394:$AU$394</c:f>
              <c:numCache>
                <c:formatCode>#,##0</c:formatCode>
                <c:ptCount val="20"/>
                <c:pt idx="0">
                  <c:v>641.82941039800153</c:v>
                </c:pt>
                <c:pt idx="1">
                  <c:v>2038.4271791949673</c:v>
                </c:pt>
                <c:pt idx="2">
                  <c:v>2332.1751950037597</c:v>
                </c:pt>
                <c:pt idx="3">
                  <c:v>337.83171862672816</c:v>
                </c:pt>
                <c:pt idx="4">
                  <c:v>-264.92736305811331</c:v>
                </c:pt>
                <c:pt idx="5">
                  <c:v>19.872495218217864</c:v>
                </c:pt>
                <c:pt idx="6">
                  <c:v>-662.45683916889493</c:v>
                </c:pt>
                <c:pt idx="7">
                  <c:v>279</c:v>
                </c:pt>
                <c:pt idx="8">
                  <c:v>295.4888410422036</c:v>
                </c:pt>
                <c:pt idx="9">
                  <c:v>-194.21982031811331</c:v>
                </c:pt>
                <c:pt idx="10">
                  <c:v>-1676.8538652684001</c:v>
                </c:pt>
                <c:pt idx="11">
                  <c:v>-902.96741856482276</c:v>
                </c:pt>
                <c:pt idx="12">
                  <c:v>206.77548468685927</c:v>
                </c:pt>
                <c:pt idx="13">
                  <c:v>1246.1770708131362</c:v>
                </c:pt>
                <c:pt idx="14">
                  <c:v>865.30569901044873</c:v>
                </c:pt>
                <c:pt idx="15">
                  <c:v>-1496.0456486148496</c:v>
                </c:pt>
                <c:pt idx="16">
                  <c:v>-1433.1827161427573</c:v>
                </c:pt>
                <c:pt idx="17">
                  <c:v>-1591.4797135429681</c:v>
                </c:pt>
                <c:pt idx="18">
                  <c:v>-205.28605810357658</c:v>
                </c:pt>
                <c:pt idx="19">
                  <c:v>-2257.0614370519997</c:v>
                </c:pt>
              </c:numCache>
            </c:numRef>
          </c:val>
          <c:extLst>
            <c:ext xmlns:c16="http://schemas.microsoft.com/office/drawing/2014/chart" uri="{C3380CC4-5D6E-409C-BE32-E72D297353CC}">
              <c16:uniqueId val="{00000000-0E69-4927-B470-D684DE6C1155}"/>
            </c:ext>
          </c:extLst>
        </c:ser>
        <c:ser>
          <c:idx val="1"/>
          <c:order val="1"/>
          <c:tx>
            <c:strRef>
              <c:f>Charts!$AA$395</c:f>
              <c:strCache>
                <c:ptCount val="1"/>
                <c:pt idx="0">
                  <c:v>Operating Free Cash Flow DTV</c:v>
                </c:pt>
              </c:strCache>
            </c:strRef>
          </c:tx>
          <c:spPr>
            <a:solidFill>
              <a:srgbClr val="9999FF"/>
            </a:solidFill>
            <a:ln w="25400">
              <a:noFill/>
            </a:ln>
            <a:effectLst/>
          </c:spPr>
          <c:invertIfNegative val="0"/>
          <c:cat>
            <c:strRef>
              <c:f>Charts!$AB$393:$AU$393</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Charts!$AB$395:$AU$395</c:f>
              <c:numCache>
                <c:formatCode>#,##0</c:formatCode>
                <c:ptCount val="20"/>
                <c:pt idx="0">
                  <c:v>1931.2709365999976</c:v>
                </c:pt>
                <c:pt idx="1">
                  <c:v>1133.7910831130034</c:v>
                </c:pt>
                <c:pt idx="2">
                  <c:v>2583.9400835999995</c:v>
                </c:pt>
                <c:pt idx="3">
                  <c:v>1881.8754860000004</c:v>
                </c:pt>
                <c:pt idx="4">
                  <c:v>2065.1625624699991</c:v>
                </c:pt>
                <c:pt idx="5">
                  <c:v>1414.6959665600043</c:v>
                </c:pt>
                <c:pt idx="6">
                  <c:v>2489.181279935</c:v>
                </c:pt>
                <c:pt idx="7">
                  <c:v>2736</c:v>
                </c:pt>
                <c:pt idx="8">
                  <c:v>945.0934212079992</c:v>
                </c:pt>
                <c:pt idx="9">
                  <c:v>1808.7246862620013</c:v>
                </c:pt>
                <c:pt idx="10">
                  <c:v>2309.6231909399989</c:v>
                </c:pt>
                <c:pt idx="11">
                  <c:v>1297.8980970600023</c:v>
                </c:pt>
                <c:pt idx="12">
                  <c:v>-401.93030034000276</c:v>
                </c:pt>
                <c:pt idx="13">
                  <c:v>537.15198708000253</c:v>
                </c:pt>
                <c:pt idx="14">
                  <c:v>420.72223620999966</c:v>
                </c:pt>
                <c:pt idx="15">
                  <c:v>457.41405306999786</c:v>
                </c:pt>
                <c:pt idx="16">
                  <c:v>568.23249744300074</c:v>
                </c:pt>
                <c:pt idx="17">
                  <c:v>1320.4636748800012</c:v>
                </c:pt>
                <c:pt idx="18">
                  <c:v>323.9013460000001</c:v>
                </c:pt>
                <c:pt idx="19">
                  <c:v>-8.6728830000001835</c:v>
                </c:pt>
              </c:numCache>
            </c:numRef>
          </c:val>
          <c:extLst>
            <c:ext xmlns:c16="http://schemas.microsoft.com/office/drawing/2014/chart" uri="{C3380CC4-5D6E-409C-BE32-E72D297353CC}">
              <c16:uniqueId val="{00000001-0E69-4927-B470-D684DE6C1155}"/>
            </c:ext>
          </c:extLst>
        </c:ser>
        <c:ser>
          <c:idx val="2"/>
          <c:order val="2"/>
          <c:tx>
            <c:strRef>
              <c:f>Charts!$AA$396</c:f>
              <c:strCache>
                <c:ptCount val="1"/>
                <c:pt idx="0">
                  <c:v>Operating Free Cash Flow Bus.</c:v>
                </c:pt>
              </c:strCache>
            </c:strRef>
          </c:tx>
          <c:spPr>
            <a:solidFill>
              <a:srgbClr val="3366FF"/>
            </a:solidFill>
            <a:ln w="25400">
              <a:noFill/>
            </a:ln>
            <a:effectLst/>
          </c:spPr>
          <c:invertIfNegative val="0"/>
          <c:cat>
            <c:strRef>
              <c:f>Charts!$AB$393:$AU$393</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Charts!$AB$396:$AU$396</c:f>
              <c:numCache>
                <c:formatCode>#,##0</c:formatCode>
                <c:ptCount val="20"/>
                <c:pt idx="0">
                  <c:v>4497.6203888564978</c:v>
                </c:pt>
                <c:pt idx="1">
                  <c:v>-5347.490932552877</c:v>
                </c:pt>
                <c:pt idx="2">
                  <c:v>8522.9906328959096</c:v>
                </c:pt>
                <c:pt idx="3">
                  <c:v>7839.500309126438</c:v>
                </c:pt>
                <c:pt idx="4">
                  <c:v>8794.672009906506</c:v>
                </c:pt>
                <c:pt idx="5">
                  <c:v>7860.8692587829692</c:v>
                </c:pt>
                <c:pt idx="6">
                  <c:v>8117.6762016907596</c:v>
                </c:pt>
                <c:pt idx="7">
                  <c:v>10301</c:v>
                </c:pt>
                <c:pt idx="8">
                  <c:v>7456.0227349363995</c:v>
                </c:pt>
                <c:pt idx="9">
                  <c:v>7972.6203336288545</c:v>
                </c:pt>
                <c:pt idx="10">
                  <c:v>10150.292325277471</c:v>
                </c:pt>
                <c:pt idx="11">
                  <c:v>9501.0225609266836</c:v>
                </c:pt>
                <c:pt idx="12">
                  <c:v>11389.241804780253</c:v>
                </c:pt>
                <c:pt idx="13">
                  <c:v>4081.217144516675</c:v>
                </c:pt>
                <c:pt idx="14">
                  <c:v>13839.569995381979</c:v>
                </c:pt>
                <c:pt idx="15">
                  <c:v>10974.860450878456</c:v>
                </c:pt>
                <c:pt idx="16">
                  <c:v>12075.132014770546</c:v>
                </c:pt>
                <c:pt idx="17">
                  <c:v>7247.6489093587024</c:v>
                </c:pt>
                <c:pt idx="18">
                  <c:v>11674.345228777138</c:v>
                </c:pt>
                <c:pt idx="19">
                  <c:v>11201.823378100647</c:v>
                </c:pt>
              </c:numCache>
            </c:numRef>
          </c:val>
          <c:extLst>
            <c:ext xmlns:c16="http://schemas.microsoft.com/office/drawing/2014/chart" uri="{C3380CC4-5D6E-409C-BE32-E72D297353CC}">
              <c16:uniqueId val="{00000002-0E69-4927-B470-D684DE6C1155}"/>
            </c:ext>
          </c:extLst>
        </c:ser>
        <c:dLbls>
          <c:showLegendKey val="0"/>
          <c:showVal val="0"/>
          <c:showCatName val="0"/>
          <c:showSerName val="0"/>
          <c:showPercent val="0"/>
          <c:showBubbleSize val="0"/>
        </c:dLbls>
        <c:gapWidth val="219"/>
        <c:overlap val="-27"/>
        <c:axId val="1183625408"/>
        <c:axId val="1183630816"/>
      </c:barChart>
      <c:catAx>
        <c:axId val="11836254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630816"/>
        <c:crosses val="autoZero"/>
        <c:auto val="1"/>
        <c:lblAlgn val="ctr"/>
        <c:lblOffset val="100"/>
        <c:noMultiLvlLbl val="0"/>
      </c:catAx>
      <c:valAx>
        <c:axId val="1183630816"/>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625408"/>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Charts!$AA$408</c:f>
              <c:strCache>
                <c:ptCount val="1"/>
                <c:pt idx="0">
                  <c:v>Total revenues.</c:v>
                </c:pt>
              </c:strCache>
            </c:strRef>
          </c:tx>
          <c:spPr>
            <a:solidFill>
              <a:srgbClr val="000080"/>
            </a:solidFill>
            <a:ln w="25400">
              <a:noFill/>
            </a:ln>
            <a:effectLst/>
          </c:spPr>
          <c:invertIfNegative val="0"/>
          <c:cat>
            <c:strRef>
              <c:f>Charts!$AB$407:$AU$407</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Charts!$AB$408:$AU$408</c:f>
              <c:numCache>
                <c:formatCode>#,##0</c:formatCode>
                <c:ptCount val="20"/>
                <c:pt idx="0">
                  <c:v>62692.392380003388</c:v>
                </c:pt>
                <c:pt idx="1">
                  <c:v>64888.432813095009</c:v>
                </c:pt>
                <c:pt idx="2">
                  <c:v>64512.787317906987</c:v>
                </c:pt>
                <c:pt idx="3">
                  <c:v>71660.353665636983</c:v>
                </c:pt>
                <c:pt idx="4">
                  <c:v>76441.540934315999</c:v>
                </c:pt>
                <c:pt idx="5">
                  <c:v>76017.490857259982</c:v>
                </c:pt>
                <c:pt idx="6">
                  <c:v>81773.153924568993</c:v>
                </c:pt>
                <c:pt idx="7">
                  <c:v>85915.677568233965</c:v>
                </c:pt>
                <c:pt idx="8">
                  <c:v>91053</c:v>
                </c:pt>
                <c:pt idx="9">
                  <c:v>91871.379550050056</c:v>
                </c:pt>
                <c:pt idx="10">
                  <c:v>97020.754476614995</c:v>
                </c:pt>
                <c:pt idx="11">
                  <c:v>104451.814448598</c:v>
                </c:pt>
                <c:pt idx="12">
                  <c:v>110876.80381784689</c:v>
                </c:pt>
                <c:pt idx="13">
                  <c:v>110314.79130590509</c:v>
                </c:pt>
                <c:pt idx="14">
                  <c:v>113168.47988314697</c:v>
                </c:pt>
                <c:pt idx="15">
                  <c:v>102767.63975801811</c:v>
                </c:pt>
                <c:pt idx="16">
                  <c:v>102972.35068890199</c:v>
                </c:pt>
                <c:pt idx="17">
                  <c:v>92932.501927844976</c:v>
                </c:pt>
                <c:pt idx="18">
                  <c:v>96369.348685824254</c:v>
                </c:pt>
                <c:pt idx="19">
                  <c:v>101631.1571631609</c:v>
                </c:pt>
              </c:numCache>
            </c:numRef>
          </c:val>
          <c:extLst>
            <c:ext xmlns:c16="http://schemas.microsoft.com/office/drawing/2014/chart" uri="{C3380CC4-5D6E-409C-BE32-E72D297353CC}">
              <c16:uniqueId val="{00000000-1F3A-47C3-8540-683B0790C136}"/>
            </c:ext>
          </c:extLst>
        </c:ser>
        <c:dLbls>
          <c:showLegendKey val="0"/>
          <c:showVal val="0"/>
          <c:showCatName val="0"/>
          <c:showSerName val="0"/>
          <c:showPercent val="0"/>
          <c:showBubbleSize val="0"/>
        </c:dLbls>
        <c:gapWidth val="219"/>
        <c:overlap val="-27"/>
        <c:axId val="955002880"/>
        <c:axId val="954999968"/>
      </c:barChart>
      <c:catAx>
        <c:axId val="955002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54999968"/>
        <c:crosses val="autoZero"/>
        <c:auto val="1"/>
        <c:lblAlgn val="ctr"/>
        <c:lblOffset val="100"/>
        <c:noMultiLvlLbl val="0"/>
      </c:catAx>
      <c:valAx>
        <c:axId val="95499996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55002880"/>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Charts!$AA$426</c:f>
              <c:strCache>
                <c:ptCount val="1"/>
                <c:pt idx="0">
                  <c:v>Data - Total Traffic (mn MB)</c:v>
                </c:pt>
              </c:strCache>
            </c:strRef>
          </c:tx>
          <c:spPr>
            <a:solidFill>
              <a:srgbClr val="000080"/>
            </a:solidFill>
            <a:ln w="25400">
              <a:noFill/>
            </a:ln>
            <a:effectLst/>
          </c:spPr>
          <c:invertIfNegative val="0"/>
          <c:cat>
            <c:strRef>
              <c:f>Charts!$AB$425:$AU$425</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Charts!$AB$426:$AU$426</c:f>
              <c:numCache>
                <c:formatCode>#,##0</c:formatCode>
                <c:ptCount val="20"/>
                <c:pt idx="0">
                  <c:v>189798.35794607698</c:v>
                </c:pt>
                <c:pt idx="1">
                  <c:v>219015.22273317204</c:v>
                </c:pt>
                <c:pt idx="2">
                  <c:v>279540.604232991</c:v>
                </c:pt>
                <c:pt idx="3">
                  <c:v>293919.17664358404</c:v>
                </c:pt>
                <c:pt idx="4">
                  <c:v>320568.43407318904</c:v>
                </c:pt>
                <c:pt idx="5">
                  <c:v>348230.38199061499</c:v>
                </c:pt>
                <c:pt idx="6">
                  <c:v>410723</c:v>
                </c:pt>
                <c:pt idx="7">
                  <c:v>448911.87507589103</c:v>
                </c:pt>
                <c:pt idx="8">
                  <c:v>478813.00798904902</c:v>
                </c:pt>
                <c:pt idx="9">
                  <c:v>509303</c:v>
                </c:pt>
                <c:pt idx="10">
                  <c:v>568135.36225684278</c:v>
                </c:pt>
                <c:pt idx="11">
                  <c:v>647070.25059913774</c:v>
                </c:pt>
                <c:pt idx="12">
                  <c:v>692939.73350281245</c:v>
                </c:pt>
                <c:pt idx="13">
                  <c:v>732365.4460432441</c:v>
                </c:pt>
                <c:pt idx="14">
                  <c:v>823634.90773927525</c:v>
                </c:pt>
                <c:pt idx="15">
                  <c:v>917900.10329583497</c:v>
                </c:pt>
                <c:pt idx="16">
                  <c:v>1009040.3113167</c:v>
                </c:pt>
                <c:pt idx="17">
                  <c:v>1091328.5825163701</c:v>
                </c:pt>
                <c:pt idx="18">
                  <c:v>1189.0973646400039</c:v>
                </c:pt>
                <c:pt idx="19">
                  <c:v>1389.4813961591465</c:v>
                </c:pt>
              </c:numCache>
            </c:numRef>
          </c:val>
          <c:extLst>
            <c:ext xmlns:c16="http://schemas.microsoft.com/office/drawing/2014/chart" uri="{C3380CC4-5D6E-409C-BE32-E72D297353CC}">
              <c16:uniqueId val="{00000000-0746-478D-B397-DD651315B675}"/>
            </c:ext>
          </c:extLst>
        </c:ser>
        <c:dLbls>
          <c:showLegendKey val="0"/>
          <c:showVal val="0"/>
          <c:showCatName val="0"/>
          <c:showSerName val="0"/>
          <c:showPercent val="0"/>
          <c:showBubbleSize val="0"/>
        </c:dLbls>
        <c:gapWidth val="219"/>
        <c:overlap val="-27"/>
        <c:axId val="879717808"/>
        <c:axId val="879740272"/>
      </c:barChart>
      <c:catAx>
        <c:axId val="879717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9740272"/>
        <c:crosses val="autoZero"/>
        <c:auto val="1"/>
        <c:lblAlgn val="ctr"/>
        <c:lblOffset val="100"/>
        <c:noMultiLvlLbl val="0"/>
      </c:catAx>
      <c:valAx>
        <c:axId val="87974027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9717808"/>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Charts!$AA$432</c:f>
              <c:strCache>
                <c:ptCount val="1"/>
                <c:pt idx="0">
                  <c:v>Data Customers</c:v>
                </c:pt>
              </c:strCache>
            </c:strRef>
          </c:tx>
          <c:spPr>
            <a:solidFill>
              <a:srgbClr val="000080"/>
            </a:solidFill>
            <a:ln w="25400">
              <a:noFill/>
            </a:ln>
            <a:effectLst/>
          </c:spPr>
          <c:invertIfNegative val="0"/>
          <c:cat>
            <c:strRef>
              <c:f>Charts!$AB$431:$AU$431</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Charts!$AB$432:$AU$432</c:f>
              <c:numCache>
                <c:formatCode>#,##0</c:formatCode>
                <c:ptCount val="20"/>
                <c:pt idx="0">
                  <c:v>32886.810381999996</c:v>
                </c:pt>
                <c:pt idx="1">
                  <c:v>35442.883999999998</c:v>
                </c:pt>
                <c:pt idx="2">
                  <c:v>36971.971936999995</c:v>
                </c:pt>
                <c:pt idx="3">
                  <c:v>39596.172999999995</c:v>
                </c:pt>
                <c:pt idx="4">
                  <c:v>40623.897999999994</c:v>
                </c:pt>
                <c:pt idx="5">
                  <c:v>40583.673999999992</c:v>
                </c:pt>
                <c:pt idx="6">
                  <c:v>42434</c:v>
                </c:pt>
                <c:pt idx="7">
                  <c:v>43920.006000000001</c:v>
                </c:pt>
                <c:pt idx="8">
                  <c:v>45113.750999999997</c:v>
                </c:pt>
                <c:pt idx="9">
                  <c:v>46734</c:v>
                </c:pt>
                <c:pt idx="10">
                  <c:v>46536.339</c:v>
                </c:pt>
                <c:pt idx="11">
                  <c:v>48594</c:v>
                </c:pt>
                <c:pt idx="12">
                  <c:v>51266.748</c:v>
                </c:pt>
                <c:pt idx="13">
                  <c:v>54647.945</c:v>
                </c:pt>
                <c:pt idx="14">
                  <c:v>56782.384000000005</c:v>
                </c:pt>
                <c:pt idx="15">
                  <c:v>59787.042000000001</c:v>
                </c:pt>
                <c:pt idx="16">
                  <c:v>62725.220187999999</c:v>
                </c:pt>
                <c:pt idx="17">
                  <c:v>64353.914000000004</c:v>
                </c:pt>
                <c:pt idx="18">
                  <c:v>64401.256999999998</c:v>
                </c:pt>
                <c:pt idx="19">
                  <c:v>66011.512999999992</c:v>
                </c:pt>
              </c:numCache>
            </c:numRef>
          </c:val>
          <c:extLst>
            <c:ext xmlns:c16="http://schemas.microsoft.com/office/drawing/2014/chart" uri="{C3380CC4-5D6E-409C-BE32-E72D297353CC}">
              <c16:uniqueId val="{00000000-B90B-4F9E-B0A8-4BFA97006B1F}"/>
            </c:ext>
          </c:extLst>
        </c:ser>
        <c:dLbls>
          <c:showLegendKey val="0"/>
          <c:showVal val="0"/>
          <c:showCatName val="0"/>
          <c:showSerName val="0"/>
          <c:showPercent val="0"/>
          <c:showBubbleSize val="0"/>
        </c:dLbls>
        <c:gapWidth val="219"/>
        <c:overlap val="-27"/>
        <c:axId val="1183632896"/>
        <c:axId val="1183629984"/>
      </c:barChart>
      <c:catAx>
        <c:axId val="1183632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629984"/>
        <c:crosses val="autoZero"/>
        <c:auto val="1"/>
        <c:lblAlgn val="ctr"/>
        <c:lblOffset val="100"/>
        <c:noMultiLvlLbl val="0"/>
      </c:catAx>
      <c:valAx>
        <c:axId val="1183629984"/>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63289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Charts!$AA$446</c:f>
              <c:strCache>
                <c:ptCount val="1"/>
                <c:pt idx="0">
                  <c:v>EBITDA Africa</c:v>
                </c:pt>
              </c:strCache>
            </c:strRef>
          </c:tx>
          <c:spPr>
            <a:solidFill>
              <a:schemeClr val="accent5">
                <a:lumMod val="50000"/>
              </a:schemeClr>
            </a:solidFill>
            <a:ln>
              <a:noFill/>
            </a:ln>
            <a:effectLst/>
          </c:spPr>
          <c:invertIfNegative val="0"/>
          <c:cat>
            <c:strRef>
              <c:f>Charts!$AB$445:$AU$445</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Charts!$AB$446:$AU$446</c:f>
              <c:numCache>
                <c:formatCode>#,##0</c:formatCode>
                <c:ptCount val="20"/>
                <c:pt idx="0">
                  <c:v>28330.852402844761</c:v>
                </c:pt>
                <c:pt idx="1">
                  <c:v>28640.351451533032</c:v>
                </c:pt>
                <c:pt idx="2">
                  <c:v>28425.237581814989</c:v>
                </c:pt>
                <c:pt idx="3">
                  <c:v>32452.604396361967</c:v>
                </c:pt>
                <c:pt idx="4">
                  <c:v>35852.111383891999</c:v>
                </c:pt>
                <c:pt idx="5">
                  <c:v>36250.037016255985</c:v>
                </c:pt>
                <c:pt idx="6">
                  <c:v>39272.835667117004</c:v>
                </c:pt>
                <c:pt idx="7">
                  <c:v>41743.257718275971</c:v>
                </c:pt>
                <c:pt idx="8">
                  <c:v>45189.595548540012</c:v>
                </c:pt>
                <c:pt idx="9">
                  <c:v>45865.058372405023</c:v>
                </c:pt>
                <c:pt idx="10">
                  <c:v>47381.327488894975</c:v>
                </c:pt>
                <c:pt idx="11">
                  <c:v>51251.757737889995</c:v>
                </c:pt>
                <c:pt idx="12">
                  <c:v>54467.657951169866</c:v>
                </c:pt>
                <c:pt idx="13">
                  <c:v>54180.045980566138</c:v>
                </c:pt>
                <c:pt idx="14">
                  <c:v>56030.824992768969</c:v>
                </c:pt>
                <c:pt idx="15">
                  <c:v>51157.696750332107</c:v>
                </c:pt>
                <c:pt idx="16">
                  <c:v>50590.337462133022</c:v>
                </c:pt>
                <c:pt idx="17">
                  <c:v>43236.906250850938</c:v>
                </c:pt>
                <c:pt idx="18">
                  <c:v>43616.529097564257</c:v>
                </c:pt>
                <c:pt idx="19">
                  <c:v>47258.500766475518</c:v>
                </c:pt>
              </c:numCache>
            </c:numRef>
          </c:val>
          <c:extLst>
            <c:ext xmlns:c16="http://schemas.microsoft.com/office/drawing/2014/chart" uri="{C3380CC4-5D6E-409C-BE32-E72D297353CC}">
              <c16:uniqueId val="{00000000-F29B-4268-9F3D-B3FB9380F865}"/>
            </c:ext>
          </c:extLst>
        </c:ser>
        <c:dLbls>
          <c:showLegendKey val="0"/>
          <c:showVal val="0"/>
          <c:showCatName val="0"/>
          <c:showSerName val="0"/>
          <c:showPercent val="0"/>
          <c:showBubbleSize val="0"/>
        </c:dLbls>
        <c:gapWidth val="219"/>
        <c:overlap val="-27"/>
        <c:axId val="1033399552"/>
        <c:axId val="1033380000"/>
      </c:barChart>
      <c:lineChart>
        <c:grouping val="standard"/>
        <c:varyColors val="0"/>
        <c:ser>
          <c:idx val="1"/>
          <c:order val="1"/>
          <c:tx>
            <c:strRef>
              <c:f>Charts!$AA$447</c:f>
              <c:strCache>
                <c:ptCount val="1"/>
                <c:pt idx="0">
                  <c:v>Africa EBITDA margin</c:v>
                </c:pt>
              </c:strCache>
            </c:strRef>
          </c:tx>
          <c:spPr>
            <a:ln w="28575" cap="rnd">
              <a:solidFill>
                <a:schemeClr val="accent2"/>
              </a:solidFill>
              <a:round/>
            </a:ln>
            <a:effectLst/>
          </c:spPr>
          <c:marker>
            <c:symbol val="none"/>
          </c:marker>
          <c:cat>
            <c:strRef>
              <c:f>Charts!$AB$445:$AU$445</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Charts!$AB$447:$AU$447</c:f>
              <c:numCache>
                <c:formatCode>0%</c:formatCode>
                <c:ptCount val="20"/>
                <c:pt idx="0">
                  <c:v>0.45190255671087265</c:v>
                </c:pt>
                <c:pt idx="1">
                  <c:v>0.44137838147561453</c:v>
                </c:pt>
                <c:pt idx="2">
                  <c:v>0.44061400481335145</c:v>
                </c:pt>
                <c:pt idx="3">
                  <c:v>0.45286693040595249</c:v>
                </c:pt>
                <c:pt idx="4">
                  <c:v>0.46901345715543175</c:v>
                </c:pt>
                <c:pt idx="5">
                  <c:v>0.47686442432470733</c:v>
                </c:pt>
                <c:pt idx="6">
                  <c:v>0.48026563465246708</c:v>
                </c:pt>
                <c:pt idx="7">
                  <c:v>0.48586310321679771</c:v>
                </c:pt>
                <c:pt idx="8">
                  <c:v>0.49629990827913428</c:v>
                </c:pt>
                <c:pt idx="9">
                  <c:v>0.49923119253280041</c:v>
                </c:pt>
                <c:pt idx="10">
                  <c:v>0.48836280179943709</c:v>
                </c:pt>
                <c:pt idx="11">
                  <c:v>0.49067369493242841</c:v>
                </c:pt>
                <c:pt idx="12">
                  <c:v>0.49124484180344558</c:v>
                </c:pt>
                <c:pt idx="13">
                  <c:v>0.49114035696558406</c:v>
                </c:pt>
                <c:pt idx="14">
                  <c:v>0.49510981370982499</c:v>
                </c:pt>
                <c:pt idx="15">
                  <c:v>0.49779966603096665</c:v>
                </c:pt>
                <c:pt idx="16">
                  <c:v>0.49130020946084391</c:v>
                </c:pt>
                <c:pt idx="17">
                  <c:v>0.46525064271293493</c:v>
                </c:pt>
                <c:pt idx="18">
                  <c:v>0.45259752911436002</c:v>
                </c:pt>
                <c:pt idx="19">
                  <c:v>0.46500012482004588</c:v>
                </c:pt>
              </c:numCache>
            </c:numRef>
          </c:val>
          <c:smooth val="0"/>
          <c:extLst>
            <c:ext xmlns:c16="http://schemas.microsoft.com/office/drawing/2014/chart" uri="{C3380CC4-5D6E-409C-BE32-E72D297353CC}">
              <c16:uniqueId val="{00000001-F29B-4268-9F3D-B3FB9380F865}"/>
            </c:ext>
          </c:extLst>
        </c:ser>
        <c:dLbls>
          <c:showLegendKey val="0"/>
          <c:showVal val="0"/>
          <c:showCatName val="0"/>
          <c:showSerName val="0"/>
          <c:showPercent val="0"/>
          <c:showBubbleSize val="0"/>
        </c:dLbls>
        <c:marker val="1"/>
        <c:smooth val="0"/>
        <c:axId val="1033378752"/>
        <c:axId val="1033382496"/>
      </c:lineChart>
      <c:catAx>
        <c:axId val="1033399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33380000"/>
        <c:crosses val="autoZero"/>
        <c:auto val="1"/>
        <c:lblAlgn val="ctr"/>
        <c:lblOffset val="100"/>
        <c:noMultiLvlLbl val="0"/>
      </c:catAx>
      <c:valAx>
        <c:axId val="103338000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33399552"/>
        <c:crosses val="autoZero"/>
        <c:crossBetween val="between"/>
      </c:valAx>
      <c:valAx>
        <c:axId val="1033382496"/>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33378752"/>
        <c:crosses val="max"/>
        <c:crossBetween val="between"/>
      </c:valAx>
      <c:catAx>
        <c:axId val="1033378752"/>
        <c:scaling>
          <c:orientation val="minMax"/>
        </c:scaling>
        <c:delete val="1"/>
        <c:axPos val="b"/>
        <c:numFmt formatCode="General" sourceLinked="1"/>
        <c:majorTickMark val="out"/>
        <c:minorTickMark val="none"/>
        <c:tickLblPos val="nextTo"/>
        <c:crossAx val="1033382496"/>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Charts!$AA$452</c:f>
              <c:strCache>
                <c:ptCount val="1"/>
                <c:pt idx="0">
                  <c:v>Net Income Africa</c:v>
                </c:pt>
              </c:strCache>
            </c:strRef>
          </c:tx>
          <c:spPr>
            <a:solidFill>
              <a:srgbClr val="000080"/>
            </a:solidFill>
            <a:ln w="25400">
              <a:noFill/>
            </a:ln>
            <a:effectLst/>
          </c:spPr>
          <c:invertIfNegative val="0"/>
          <c:cat>
            <c:strRef>
              <c:f>Charts!$AB$451:$AU$451</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Charts!$AB$452:$AU$452</c:f>
              <c:numCache>
                <c:formatCode>#,##0</c:formatCode>
                <c:ptCount val="20"/>
                <c:pt idx="0">
                  <c:v>2462.5364080469953</c:v>
                </c:pt>
                <c:pt idx="1">
                  <c:v>2707</c:v>
                </c:pt>
                <c:pt idx="2">
                  <c:v>2175.7640767192502</c:v>
                </c:pt>
                <c:pt idx="3">
                  <c:v>3659.3843296127502</c:v>
                </c:pt>
                <c:pt idx="4">
                  <c:v>3016.769455338997</c:v>
                </c:pt>
                <c:pt idx="5">
                  <c:v>4919.2500143419893</c:v>
                </c:pt>
                <c:pt idx="6">
                  <c:v>4960.5965010890031</c:v>
                </c:pt>
                <c:pt idx="7">
                  <c:v>6577.9524669209695</c:v>
                </c:pt>
                <c:pt idx="8">
                  <c:v>6227.0722558230082</c:v>
                </c:pt>
                <c:pt idx="9">
                  <c:v>7169.1641924170144</c:v>
                </c:pt>
                <c:pt idx="10">
                  <c:v>6120.409974289988</c:v>
                </c:pt>
                <c:pt idx="11">
                  <c:v>4825</c:v>
                </c:pt>
                <c:pt idx="12">
                  <c:v>6924.0673167358491</c:v>
                </c:pt>
                <c:pt idx="13">
                  <c:v>4854</c:v>
                </c:pt>
                <c:pt idx="14">
                  <c:v>6742.4845738209715</c:v>
                </c:pt>
                <c:pt idx="15">
                  <c:v>5328.8170911420912</c:v>
                </c:pt>
                <c:pt idx="16">
                  <c:v>75.964334203021281</c:v>
                </c:pt>
                <c:pt idx="17">
                  <c:v>5320.1080055579132</c:v>
                </c:pt>
                <c:pt idx="18">
                  <c:v>4016.874354787411</c:v>
                </c:pt>
                <c:pt idx="19">
                  <c:v>4553.5305191217758</c:v>
                </c:pt>
              </c:numCache>
            </c:numRef>
          </c:val>
          <c:extLst>
            <c:ext xmlns:c16="http://schemas.microsoft.com/office/drawing/2014/chart" uri="{C3380CC4-5D6E-409C-BE32-E72D297353CC}">
              <c16:uniqueId val="{00000000-ADFE-4355-8842-2238CD806378}"/>
            </c:ext>
          </c:extLst>
        </c:ser>
        <c:dLbls>
          <c:showLegendKey val="0"/>
          <c:showVal val="0"/>
          <c:showCatName val="0"/>
          <c:showSerName val="0"/>
          <c:showPercent val="0"/>
          <c:showBubbleSize val="0"/>
        </c:dLbls>
        <c:gapWidth val="219"/>
        <c:overlap val="-27"/>
        <c:axId val="1183571744"/>
        <c:axId val="1183567168"/>
      </c:barChart>
      <c:catAx>
        <c:axId val="118357174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567168"/>
        <c:crosses val="autoZero"/>
        <c:auto val="1"/>
        <c:lblAlgn val="ctr"/>
        <c:lblOffset val="100"/>
        <c:noMultiLvlLbl val="0"/>
      </c:catAx>
      <c:valAx>
        <c:axId val="118356716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571744"/>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Charts!$AA$465</c:f>
              <c:strCache>
                <c:ptCount val="1"/>
                <c:pt idx="0">
                  <c:v>Revenues.</c:v>
                </c:pt>
              </c:strCache>
            </c:strRef>
          </c:tx>
          <c:spPr>
            <a:solidFill>
              <a:srgbClr val="000080"/>
            </a:solidFill>
            <a:ln w="25400">
              <a:noFill/>
            </a:ln>
            <a:effectLst/>
          </c:spPr>
          <c:invertIfNegative val="0"/>
          <c:cat>
            <c:strRef>
              <c:f>Charts!$AB$464:$AU$464</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Charts!$AB$465:$AU$465</c:f>
              <c:numCache>
                <c:formatCode>#,##0</c:formatCode>
                <c:ptCount val="20"/>
                <c:pt idx="0">
                  <c:v>62692.392380003388</c:v>
                </c:pt>
                <c:pt idx="1">
                  <c:v>64888.432813095009</c:v>
                </c:pt>
                <c:pt idx="2">
                  <c:v>64512.787317906987</c:v>
                </c:pt>
                <c:pt idx="3">
                  <c:v>71660.353665636983</c:v>
                </c:pt>
                <c:pt idx="4">
                  <c:v>76441.540934315999</c:v>
                </c:pt>
                <c:pt idx="5">
                  <c:v>76017.490857259982</c:v>
                </c:pt>
                <c:pt idx="6">
                  <c:v>81773.153924568993</c:v>
                </c:pt>
                <c:pt idx="7">
                  <c:v>85915.677568233965</c:v>
                </c:pt>
                <c:pt idx="8">
                  <c:v>91053</c:v>
                </c:pt>
                <c:pt idx="9">
                  <c:v>91871.379550050056</c:v>
                </c:pt>
                <c:pt idx="10">
                  <c:v>97020.754476614995</c:v>
                </c:pt>
                <c:pt idx="11">
                  <c:v>104451.814448598</c:v>
                </c:pt>
                <c:pt idx="12">
                  <c:v>110876.80381784689</c:v>
                </c:pt>
                <c:pt idx="13">
                  <c:v>110314.79130590509</c:v>
                </c:pt>
                <c:pt idx="14">
                  <c:v>113168.47988314697</c:v>
                </c:pt>
                <c:pt idx="15">
                  <c:v>102767.63975801811</c:v>
                </c:pt>
                <c:pt idx="16">
                  <c:v>102972.35068890199</c:v>
                </c:pt>
                <c:pt idx="17">
                  <c:v>92932.501927844976</c:v>
                </c:pt>
                <c:pt idx="18">
                  <c:v>96369.348685824254</c:v>
                </c:pt>
                <c:pt idx="19">
                  <c:v>101631.1571631609</c:v>
                </c:pt>
              </c:numCache>
            </c:numRef>
          </c:val>
          <c:extLst>
            <c:ext xmlns:c16="http://schemas.microsoft.com/office/drawing/2014/chart" uri="{C3380CC4-5D6E-409C-BE32-E72D297353CC}">
              <c16:uniqueId val="{00000000-4F56-4CDA-9F40-7AA8EF4B2A67}"/>
            </c:ext>
          </c:extLst>
        </c:ser>
        <c:ser>
          <c:idx val="1"/>
          <c:order val="1"/>
          <c:tx>
            <c:strRef>
              <c:f>Charts!$AA$466</c:f>
              <c:strCache>
                <c:ptCount val="1"/>
                <c:pt idx="0">
                  <c:v>EBITDA.</c:v>
                </c:pt>
              </c:strCache>
            </c:strRef>
          </c:tx>
          <c:spPr>
            <a:solidFill>
              <a:srgbClr val="9999FF"/>
            </a:solidFill>
            <a:ln w="25400">
              <a:noFill/>
            </a:ln>
            <a:effectLst/>
          </c:spPr>
          <c:invertIfNegative val="0"/>
          <c:cat>
            <c:strRef>
              <c:f>Charts!$AB$464:$AU$464</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Charts!$AB$466:$AU$466</c:f>
              <c:numCache>
                <c:formatCode>#,##0</c:formatCode>
                <c:ptCount val="20"/>
                <c:pt idx="0">
                  <c:v>28330.852402844761</c:v>
                </c:pt>
                <c:pt idx="1">
                  <c:v>28640.351451533032</c:v>
                </c:pt>
                <c:pt idx="2">
                  <c:v>28425.237581814989</c:v>
                </c:pt>
                <c:pt idx="3">
                  <c:v>32452.604396361967</c:v>
                </c:pt>
                <c:pt idx="4">
                  <c:v>35852.111383891999</c:v>
                </c:pt>
                <c:pt idx="5">
                  <c:v>36250.037016255985</c:v>
                </c:pt>
                <c:pt idx="6">
                  <c:v>39272.835667117004</c:v>
                </c:pt>
                <c:pt idx="7">
                  <c:v>41743.257718275971</c:v>
                </c:pt>
                <c:pt idx="8">
                  <c:v>45189.595548540012</c:v>
                </c:pt>
                <c:pt idx="9">
                  <c:v>45865.058372405023</c:v>
                </c:pt>
                <c:pt idx="10">
                  <c:v>47381.327488894975</c:v>
                </c:pt>
                <c:pt idx="11">
                  <c:v>51251.757737889995</c:v>
                </c:pt>
                <c:pt idx="12">
                  <c:v>54467.657951169866</c:v>
                </c:pt>
                <c:pt idx="13">
                  <c:v>54180.045980566138</c:v>
                </c:pt>
                <c:pt idx="14">
                  <c:v>56030.824992768969</c:v>
                </c:pt>
                <c:pt idx="15">
                  <c:v>51157.696750332107</c:v>
                </c:pt>
                <c:pt idx="16">
                  <c:v>50590.337462133022</c:v>
                </c:pt>
                <c:pt idx="17">
                  <c:v>43236.906250850938</c:v>
                </c:pt>
                <c:pt idx="18">
                  <c:v>43616.529097564257</c:v>
                </c:pt>
                <c:pt idx="19">
                  <c:v>47258.500766475518</c:v>
                </c:pt>
              </c:numCache>
            </c:numRef>
          </c:val>
          <c:extLst>
            <c:ext xmlns:c16="http://schemas.microsoft.com/office/drawing/2014/chart" uri="{C3380CC4-5D6E-409C-BE32-E72D297353CC}">
              <c16:uniqueId val="{00000001-4F56-4CDA-9F40-7AA8EF4B2A67}"/>
            </c:ext>
          </c:extLst>
        </c:ser>
        <c:ser>
          <c:idx val="2"/>
          <c:order val="2"/>
          <c:tx>
            <c:strRef>
              <c:f>Charts!$AA$467</c:f>
              <c:strCache>
                <c:ptCount val="1"/>
                <c:pt idx="0">
                  <c:v>EBIT.</c:v>
                </c:pt>
              </c:strCache>
            </c:strRef>
          </c:tx>
          <c:spPr>
            <a:solidFill>
              <a:srgbClr val="3366FF"/>
            </a:solidFill>
            <a:ln w="25400">
              <a:noFill/>
            </a:ln>
            <a:effectLst/>
          </c:spPr>
          <c:invertIfNegative val="0"/>
          <c:cat>
            <c:strRef>
              <c:f>Charts!$AB$464:$AU$464</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Charts!$AB$467:$AU$467</c:f>
              <c:numCache>
                <c:formatCode>#,##0</c:formatCode>
                <c:ptCount val="20"/>
                <c:pt idx="0">
                  <c:v>17397.68580397054</c:v>
                </c:pt>
                <c:pt idx="1">
                  <c:v>17627.00488302204</c:v>
                </c:pt>
                <c:pt idx="2">
                  <c:v>15932.768747483991</c:v>
                </c:pt>
                <c:pt idx="3">
                  <c:v>19952.228861035968</c:v>
                </c:pt>
                <c:pt idx="4">
                  <c:v>22745.400508046998</c:v>
                </c:pt>
                <c:pt idx="5">
                  <c:v>23327.078985778993</c:v>
                </c:pt>
                <c:pt idx="6">
                  <c:v>25925.928155144004</c:v>
                </c:pt>
                <c:pt idx="7">
                  <c:v>28057.272809669965</c:v>
                </c:pt>
                <c:pt idx="8">
                  <c:v>30938.775270948012</c:v>
                </c:pt>
                <c:pt idx="9">
                  <c:v>31663.551339893016</c:v>
                </c:pt>
                <c:pt idx="10">
                  <c:v>32807.270869895976</c:v>
                </c:pt>
                <c:pt idx="11">
                  <c:v>35669.158741014995</c:v>
                </c:pt>
                <c:pt idx="12">
                  <c:v>36674.038935295859</c:v>
                </c:pt>
                <c:pt idx="13">
                  <c:v>36104.48450088915</c:v>
                </c:pt>
                <c:pt idx="14">
                  <c:v>37916.951422136968</c:v>
                </c:pt>
                <c:pt idx="15">
                  <c:v>34898.181808970105</c:v>
                </c:pt>
                <c:pt idx="16">
                  <c:v>34000.886304886022</c:v>
                </c:pt>
                <c:pt idx="17">
                  <c:v>28810.893333455933</c:v>
                </c:pt>
                <c:pt idx="18">
                  <c:v>27932.863057466711</c:v>
                </c:pt>
                <c:pt idx="19">
                  <c:v>31017.956108219274</c:v>
                </c:pt>
              </c:numCache>
            </c:numRef>
          </c:val>
          <c:extLst>
            <c:ext xmlns:c16="http://schemas.microsoft.com/office/drawing/2014/chart" uri="{C3380CC4-5D6E-409C-BE32-E72D297353CC}">
              <c16:uniqueId val="{00000002-4F56-4CDA-9F40-7AA8EF4B2A67}"/>
            </c:ext>
          </c:extLst>
        </c:ser>
        <c:ser>
          <c:idx val="3"/>
          <c:order val="3"/>
          <c:tx>
            <c:strRef>
              <c:f>Charts!$AA$468</c:f>
              <c:strCache>
                <c:ptCount val="1"/>
                <c:pt idx="0">
                  <c:v>Pre-Tax.</c:v>
                </c:pt>
              </c:strCache>
            </c:strRef>
          </c:tx>
          <c:spPr>
            <a:solidFill>
              <a:srgbClr val="CCCCFF"/>
            </a:solidFill>
            <a:ln w="25400">
              <a:noFill/>
            </a:ln>
            <a:effectLst/>
          </c:spPr>
          <c:invertIfNegative val="0"/>
          <c:cat>
            <c:strRef>
              <c:f>Charts!$AB$464:$AU$464</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Charts!$AB$468:$AU$468</c:f>
              <c:numCache>
                <c:formatCode>#,##0</c:formatCode>
                <c:ptCount val="20"/>
                <c:pt idx="0">
                  <c:v>11829.187863265332</c:v>
                </c:pt>
                <c:pt idx="1">
                  <c:v>6921.5072146920393</c:v>
                </c:pt>
                <c:pt idx="2">
                  <c:v>8386.0428078699915</c:v>
                </c:pt>
                <c:pt idx="3">
                  <c:v>13018.606606826968</c:v>
                </c:pt>
                <c:pt idx="4">
                  <c:v>13222.224953258998</c:v>
                </c:pt>
                <c:pt idx="5">
                  <c:v>15662.350967222992</c:v>
                </c:pt>
                <c:pt idx="6">
                  <c:v>18682.546486510004</c:v>
                </c:pt>
                <c:pt idx="7">
                  <c:v>22706.510644103968</c:v>
                </c:pt>
                <c:pt idx="8">
                  <c:v>21724.109257386008</c:v>
                </c:pt>
                <c:pt idx="9">
                  <c:v>23175.390735781017</c:v>
                </c:pt>
                <c:pt idx="10">
                  <c:v>21208.855069253987</c:v>
                </c:pt>
                <c:pt idx="11">
                  <c:v>18864.608449846986</c:v>
                </c:pt>
                <c:pt idx="12">
                  <c:v>23370.301025781853</c:v>
                </c:pt>
                <c:pt idx="13">
                  <c:v>19125.719918827155</c:v>
                </c:pt>
                <c:pt idx="14">
                  <c:v>20530.322154781974</c:v>
                </c:pt>
                <c:pt idx="15">
                  <c:v>19130.515209532088</c:v>
                </c:pt>
                <c:pt idx="16">
                  <c:v>4568.745106986029</c:v>
                </c:pt>
                <c:pt idx="17">
                  <c:v>16967.173169438905</c:v>
                </c:pt>
                <c:pt idx="18">
                  <c:v>16293.722708280256</c:v>
                </c:pt>
                <c:pt idx="19">
                  <c:v>17871.099553270149</c:v>
                </c:pt>
              </c:numCache>
            </c:numRef>
          </c:val>
          <c:extLst>
            <c:ext xmlns:c16="http://schemas.microsoft.com/office/drawing/2014/chart" uri="{C3380CC4-5D6E-409C-BE32-E72D297353CC}">
              <c16:uniqueId val="{00000003-4F56-4CDA-9F40-7AA8EF4B2A67}"/>
            </c:ext>
          </c:extLst>
        </c:ser>
        <c:ser>
          <c:idx val="4"/>
          <c:order val="4"/>
          <c:tx>
            <c:strRef>
              <c:f>Charts!$AA$469</c:f>
              <c:strCache>
                <c:ptCount val="1"/>
                <c:pt idx="0">
                  <c:v>Net profit.</c:v>
                </c:pt>
              </c:strCache>
            </c:strRef>
          </c:tx>
          <c:spPr>
            <a:solidFill>
              <a:srgbClr val="969696"/>
            </a:solidFill>
            <a:ln w="25400">
              <a:noFill/>
            </a:ln>
            <a:effectLst/>
          </c:spPr>
          <c:invertIfNegative val="0"/>
          <c:cat>
            <c:strRef>
              <c:f>Charts!$AB$464:$AU$464</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Charts!$AB$469:$AU$469</c:f>
              <c:numCache>
                <c:formatCode>#,##0</c:formatCode>
                <c:ptCount val="20"/>
                <c:pt idx="0">
                  <c:v>2462.5364080469953</c:v>
                </c:pt>
                <c:pt idx="1">
                  <c:v>2707</c:v>
                </c:pt>
                <c:pt idx="2">
                  <c:v>2175.7640767192502</c:v>
                </c:pt>
                <c:pt idx="3">
                  <c:v>3659.3843296127502</c:v>
                </c:pt>
                <c:pt idx="4">
                  <c:v>3016.769455338997</c:v>
                </c:pt>
                <c:pt idx="5">
                  <c:v>4919.2500143419893</c:v>
                </c:pt>
                <c:pt idx="6">
                  <c:v>4960.5965010890031</c:v>
                </c:pt>
                <c:pt idx="7">
                  <c:v>6577.9524669209695</c:v>
                </c:pt>
                <c:pt idx="8">
                  <c:v>6227.0722558230082</c:v>
                </c:pt>
                <c:pt idx="9">
                  <c:v>7169.1641924170144</c:v>
                </c:pt>
                <c:pt idx="10">
                  <c:v>6120.409974289988</c:v>
                </c:pt>
                <c:pt idx="11">
                  <c:v>4825</c:v>
                </c:pt>
                <c:pt idx="12">
                  <c:v>6924.0673167358491</c:v>
                </c:pt>
                <c:pt idx="13">
                  <c:v>4854</c:v>
                </c:pt>
                <c:pt idx="14">
                  <c:v>6742.4845738209715</c:v>
                </c:pt>
                <c:pt idx="15">
                  <c:v>5328.8170911420912</c:v>
                </c:pt>
                <c:pt idx="16">
                  <c:v>75.964334203021281</c:v>
                </c:pt>
                <c:pt idx="17">
                  <c:v>5320.1080055579132</c:v>
                </c:pt>
                <c:pt idx="18">
                  <c:v>4016.874354787411</c:v>
                </c:pt>
                <c:pt idx="19">
                  <c:v>4553.5305191217758</c:v>
                </c:pt>
              </c:numCache>
            </c:numRef>
          </c:val>
          <c:extLst>
            <c:ext xmlns:c16="http://schemas.microsoft.com/office/drawing/2014/chart" uri="{C3380CC4-5D6E-409C-BE32-E72D297353CC}">
              <c16:uniqueId val="{00000004-4F56-4CDA-9F40-7AA8EF4B2A67}"/>
            </c:ext>
          </c:extLst>
        </c:ser>
        <c:dLbls>
          <c:showLegendKey val="0"/>
          <c:showVal val="0"/>
          <c:showCatName val="0"/>
          <c:showSerName val="0"/>
          <c:showPercent val="0"/>
          <c:showBubbleSize val="0"/>
        </c:dLbls>
        <c:gapWidth val="219"/>
        <c:overlap val="-27"/>
        <c:axId val="1116820704"/>
        <c:axId val="1116804896"/>
      </c:barChart>
      <c:catAx>
        <c:axId val="111682070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6804896"/>
        <c:crosses val="autoZero"/>
        <c:auto val="1"/>
        <c:lblAlgn val="ctr"/>
        <c:lblOffset val="100"/>
        <c:noMultiLvlLbl val="0"/>
      </c:catAx>
      <c:valAx>
        <c:axId val="1116804896"/>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682070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'Domestic Mobile Operations'!$A$8</c:f>
              <c:strCache>
                <c:ptCount val="1"/>
                <c:pt idx="0">
                  <c:v>Monthly Churn</c:v>
                </c:pt>
              </c:strCache>
            </c:strRef>
          </c:tx>
          <c:spPr>
            <a:solidFill>
              <a:srgbClr val="263238"/>
            </a:solidFill>
            <a:ln>
              <a:noFill/>
            </a:ln>
            <a:effectLst/>
          </c:spPr>
          <c:invertIfNegative val="0"/>
          <c:cat>
            <c:strRef>
              <c:f>'Domestic Mobile Operations'!$E$1:$AT$1</c:f>
              <c:strCache>
                <c:ptCount val="42"/>
                <c:pt idx="0">
                  <c:v>4Q12</c:v>
                </c:pt>
                <c:pt idx="1">
                  <c:v>1Q13</c:v>
                </c:pt>
                <c:pt idx="2">
                  <c:v>2Q13</c:v>
                </c:pt>
                <c:pt idx="3">
                  <c:v>3Q13</c:v>
                </c:pt>
                <c:pt idx="4">
                  <c:v>4Q13</c:v>
                </c:pt>
                <c:pt idx="5">
                  <c:v>1Q14</c:v>
                </c:pt>
                <c:pt idx="6">
                  <c:v>2Q14</c:v>
                </c:pt>
                <c:pt idx="7">
                  <c:v>3Q14</c:v>
                </c:pt>
                <c:pt idx="8">
                  <c:v>4Q14</c:v>
                </c:pt>
                <c:pt idx="9">
                  <c:v>1Q15</c:v>
                </c:pt>
                <c:pt idx="10">
                  <c:v>2Q15</c:v>
                </c:pt>
                <c:pt idx="11">
                  <c:v>3Q15</c:v>
                </c:pt>
                <c:pt idx="12">
                  <c:v>4Q15</c:v>
                </c:pt>
                <c:pt idx="13">
                  <c:v>1Q16</c:v>
                </c:pt>
                <c:pt idx="14">
                  <c:v>2Q16</c:v>
                </c:pt>
                <c:pt idx="15">
                  <c:v>3Q16</c:v>
                </c:pt>
                <c:pt idx="16">
                  <c:v>4Q16</c:v>
                </c:pt>
                <c:pt idx="17">
                  <c:v>1Q17</c:v>
                </c:pt>
                <c:pt idx="18">
                  <c:v>2Q17</c:v>
                </c:pt>
                <c:pt idx="19">
                  <c:v>3Q17</c:v>
                </c:pt>
                <c:pt idx="20">
                  <c:v>4Q17</c:v>
                </c:pt>
                <c:pt idx="21">
                  <c:v>1Q18</c:v>
                </c:pt>
                <c:pt idx="22">
                  <c:v>2Q18</c:v>
                </c:pt>
                <c:pt idx="23">
                  <c:v>3Q18</c:v>
                </c:pt>
                <c:pt idx="24">
                  <c:v>4Q18</c:v>
                </c:pt>
                <c:pt idx="25">
                  <c:v>1Q19</c:v>
                </c:pt>
                <c:pt idx="26">
                  <c:v>2Q19</c:v>
                </c:pt>
                <c:pt idx="27">
                  <c:v>3Q19</c:v>
                </c:pt>
                <c:pt idx="28">
                  <c:v>4Q19</c:v>
                </c:pt>
                <c:pt idx="29">
                  <c:v>1Q20</c:v>
                </c:pt>
                <c:pt idx="30">
                  <c:v>2Q20</c:v>
                </c:pt>
                <c:pt idx="31">
                  <c:v>3Q20</c:v>
                </c:pt>
                <c:pt idx="32">
                  <c:v>4Q20</c:v>
                </c:pt>
                <c:pt idx="33">
                  <c:v>1Q21</c:v>
                </c:pt>
                <c:pt idx="34">
                  <c:v>2Q21</c:v>
                </c:pt>
                <c:pt idx="35">
                  <c:v>3Q21</c:v>
                </c:pt>
                <c:pt idx="36">
                  <c:v>4Q21</c:v>
                </c:pt>
                <c:pt idx="37">
                  <c:v>1Q22</c:v>
                </c:pt>
                <c:pt idx="38">
                  <c:v>2Q22</c:v>
                </c:pt>
                <c:pt idx="39">
                  <c:v>3Q22</c:v>
                </c:pt>
                <c:pt idx="40">
                  <c:v>4Q22</c:v>
                </c:pt>
                <c:pt idx="41">
                  <c:v>1Q23</c:v>
                </c:pt>
              </c:strCache>
            </c:strRef>
          </c:cat>
          <c:val>
            <c:numRef>
              <c:f>'Domestic Mobile Operations'!$E$8:$AT$8</c:f>
              <c:numCache>
                <c:formatCode>0.0%</c:formatCode>
                <c:ptCount val="42"/>
                <c:pt idx="0">
                  <c:v>8.8063733478201803E-2</c:v>
                </c:pt>
                <c:pt idx="1">
                  <c:v>8.7529514585046223E-2</c:v>
                </c:pt>
                <c:pt idx="2">
                  <c:v>8.4911232763759101E-2</c:v>
                </c:pt>
                <c:pt idx="3">
                  <c:v>5.8665602803907355E-2</c:v>
                </c:pt>
                <c:pt idx="4">
                  <c:v>3.1806284929968273E-2</c:v>
                </c:pt>
                <c:pt idx="5">
                  <c:v>3.204494393383249E-2</c:v>
                </c:pt>
                <c:pt idx="6">
                  <c:v>3.2174192762100082E-2</c:v>
                </c:pt>
                <c:pt idx="7">
                  <c:v>2.6855511981701521E-2</c:v>
                </c:pt>
                <c:pt idx="8">
                  <c:v>2.4230428594244489E-2</c:v>
                </c:pt>
                <c:pt idx="9">
                  <c:v>2.6988312396774437E-2</c:v>
                </c:pt>
                <c:pt idx="10">
                  <c:v>3.0672786652858035E-2</c:v>
                </c:pt>
                <c:pt idx="11">
                  <c:v>2.6562333524762453E-2</c:v>
                </c:pt>
                <c:pt idx="12">
                  <c:v>2.5127285932575835E-2</c:v>
                </c:pt>
                <c:pt idx="13">
                  <c:v>3.2947994453445616E-2</c:v>
                </c:pt>
                <c:pt idx="14">
                  <c:v>3.4848758539631285E-2</c:v>
                </c:pt>
                <c:pt idx="15">
                  <c:v>3.4489304215672277E-2</c:v>
                </c:pt>
                <c:pt idx="16">
                  <c:v>3.2697666271896526E-2</c:v>
                </c:pt>
                <c:pt idx="17">
                  <c:v>3.5652380422221026E-2</c:v>
                </c:pt>
                <c:pt idx="18">
                  <c:v>3.6675979820503815E-2</c:v>
                </c:pt>
                <c:pt idx="19">
                  <c:v>4.1295691790030876E-2</c:v>
                </c:pt>
                <c:pt idx="20">
                  <c:v>3.6269536116305984E-2</c:v>
                </c:pt>
                <c:pt idx="21">
                  <c:v>3.8053702720668679E-2</c:v>
                </c:pt>
                <c:pt idx="22">
                  <c:v>3.9E-2</c:v>
                </c:pt>
                <c:pt idx="23">
                  <c:v>3.3443775475490913E-2</c:v>
                </c:pt>
                <c:pt idx="24">
                  <c:v>2.7646912343263105E-2</c:v>
                </c:pt>
                <c:pt idx="25">
                  <c:v>1.984744690653361E-2</c:v>
                </c:pt>
                <c:pt idx="26">
                  <c:v>4.0910552179768064E-2</c:v>
                </c:pt>
                <c:pt idx="27">
                  <c:v>7.2974865772952174E-2</c:v>
                </c:pt>
                <c:pt idx="28">
                  <c:v>2.8000000000000001E-2</c:v>
                </c:pt>
                <c:pt idx="29">
                  <c:v>2.5999999999999999E-2</c:v>
                </c:pt>
                <c:pt idx="30">
                  <c:v>2.1000000000000001E-2</c:v>
                </c:pt>
                <c:pt idx="31">
                  <c:v>2.6322916330686442E-2</c:v>
                </c:pt>
                <c:pt idx="32">
                  <c:v>2.5705219111204602E-2</c:v>
                </c:pt>
                <c:pt idx="33">
                  <c:v>2.2127470497693872E-2</c:v>
                </c:pt>
                <c:pt idx="34">
                  <c:v>1.7216848284955729E-2</c:v>
                </c:pt>
                <c:pt idx="35">
                  <c:v>1.9245406432229602E-2</c:v>
                </c:pt>
                <c:pt idx="36">
                  <c:v>2.2472762762234481E-2</c:v>
                </c:pt>
                <c:pt idx="37">
                  <c:v>2.7981353441882999E-2</c:v>
                </c:pt>
                <c:pt idx="38">
                  <c:v>3.0038176753185753E-2</c:v>
                </c:pt>
                <c:pt idx="39">
                  <c:v>2.9222615672159322E-2</c:v>
                </c:pt>
                <c:pt idx="40">
                  <c:v>2.8139047305883378E-2</c:v>
                </c:pt>
                <c:pt idx="41">
                  <c:v>2.9725828757992845E-2</c:v>
                </c:pt>
              </c:numCache>
            </c:numRef>
          </c:val>
          <c:extLst>
            <c:ext xmlns:c16="http://schemas.microsoft.com/office/drawing/2014/chart" uri="{C3380CC4-5D6E-409C-BE32-E72D297353CC}">
              <c16:uniqueId val="{00000000-A325-4D22-BC1F-61EAC2BE42D9}"/>
            </c:ext>
          </c:extLst>
        </c:ser>
        <c:dLbls>
          <c:showLegendKey val="0"/>
          <c:showVal val="0"/>
          <c:showCatName val="0"/>
          <c:showSerName val="0"/>
          <c:showPercent val="0"/>
          <c:showBubbleSize val="0"/>
        </c:dLbls>
        <c:gapWidth val="30"/>
        <c:axId val="1495160607"/>
        <c:axId val="1495161855"/>
        <c:extLst/>
      </c:barChart>
      <c:catAx>
        <c:axId val="149516060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Charts!$AA$474</c:f>
              <c:strCache>
                <c:ptCount val="1"/>
                <c:pt idx="0">
                  <c:v>African depreciation</c:v>
                </c:pt>
              </c:strCache>
            </c:strRef>
          </c:tx>
          <c:spPr>
            <a:solidFill>
              <a:srgbClr val="000080"/>
            </a:solidFill>
            <a:ln w="25400">
              <a:noFill/>
            </a:ln>
            <a:effectLst/>
          </c:spPr>
          <c:invertIfNegative val="0"/>
          <c:cat>
            <c:strRef>
              <c:f>Charts!$AB$473:$AU$473</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Charts!$AB$474:$AU$474</c:f>
              <c:numCache>
                <c:formatCode>#,##0</c:formatCode>
                <c:ptCount val="20"/>
                <c:pt idx="0">
                  <c:v>10933.166598874221</c:v>
                </c:pt>
                <c:pt idx="1">
                  <c:v>11013.346568510991</c:v>
                </c:pt>
                <c:pt idx="2">
                  <c:v>12492.468834330997</c:v>
                </c:pt>
                <c:pt idx="3">
                  <c:v>12500.375535325998</c:v>
                </c:pt>
                <c:pt idx="4">
                  <c:v>13106.710875845001</c:v>
                </c:pt>
                <c:pt idx="5">
                  <c:v>12922.958030476992</c:v>
                </c:pt>
                <c:pt idx="6">
                  <c:v>13346.907511973001</c:v>
                </c:pt>
                <c:pt idx="7">
                  <c:v>13685.984908606006</c:v>
                </c:pt>
                <c:pt idx="8">
                  <c:v>14250.820277592</c:v>
                </c:pt>
                <c:pt idx="9">
                  <c:v>14201.507032512007</c:v>
                </c:pt>
                <c:pt idx="10">
                  <c:v>14574.056618998999</c:v>
                </c:pt>
                <c:pt idx="11">
                  <c:v>15582.598996875</c:v>
                </c:pt>
                <c:pt idx="12">
                  <c:v>17793.619015874006</c:v>
                </c:pt>
                <c:pt idx="13">
                  <c:v>18075.561479676988</c:v>
                </c:pt>
                <c:pt idx="14">
                  <c:v>18113.873570632</c:v>
                </c:pt>
                <c:pt idx="15">
                  <c:v>16259.514941362002</c:v>
                </c:pt>
                <c:pt idx="16">
                  <c:v>16589.451157247</c:v>
                </c:pt>
                <c:pt idx="17">
                  <c:v>14426.012917395004</c:v>
                </c:pt>
                <c:pt idx="18">
                  <c:v>15683.666040097545</c:v>
                </c:pt>
                <c:pt idx="19">
                  <c:v>16240.544658256244</c:v>
                </c:pt>
              </c:numCache>
            </c:numRef>
          </c:val>
          <c:extLst>
            <c:ext xmlns:c16="http://schemas.microsoft.com/office/drawing/2014/chart" uri="{C3380CC4-5D6E-409C-BE32-E72D297353CC}">
              <c16:uniqueId val="{00000000-48B2-4C69-8D53-A3F676F6E6DC}"/>
            </c:ext>
          </c:extLst>
        </c:ser>
        <c:ser>
          <c:idx val="1"/>
          <c:order val="1"/>
          <c:tx>
            <c:strRef>
              <c:f>Charts!$AA$475</c:f>
              <c:strCache>
                <c:ptCount val="1"/>
                <c:pt idx="0">
                  <c:v>African interest costs </c:v>
                </c:pt>
              </c:strCache>
            </c:strRef>
          </c:tx>
          <c:spPr>
            <a:solidFill>
              <a:srgbClr val="9999FF"/>
            </a:solidFill>
            <a:ln w="25400">
              <a:noFill/>
            </a:ln>
            <a:effectLst/>
          </c:spPr>
          <c:invertIfNegative val="0"/>
          <c:cat>
            <c:strRef>
              <c:f>Charts!$AB$473:$AU$473</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Charts!$AB$475:$AU$475</c:f>
              <c:numCache>
                <c:formatCode>#,##0</c:formatCode>
                <c:ptCount val="20"/>
                <c:pt idx="0">
                  <c:v>5568.4979407052087</c:v>
                </c:pt>
                <c:pt idx="1">
                  <c:v>10705.497668330001</c:v>
                </c:pt>
                <c:pt idx="2">
                  <c:v>7546.7259396139998</c:v>
                </c:pt>
                <c:pt idx="3">
                  <c:v>6933.6222542089999</c:v>
                </c:pt>
                <c:pt idx="4">
                  <c:v>9523.1755547880002</c:v>
                </c:pt>
                <c:pt idx="5">
                  <c:v>7664.7280185560012</c:v>
                </c:pt>
                <c:pt idx="6">
                  <c:v>7243.3816686339997</c:v>
                </c:pt>
                <c:pt idx="7">
                  <c:v>5350.7621655659968</c:v>
                </c:pt>
                <c:pt idx="8">
                  <c:v>9214.6660135620041</c:v>
                </c:pt>
                <c:pt idx="9">
                  <c:v>8488.1606041119994</c:v>
                </c:pt>
                <c:pt idx="10">
                  <c:v>11598.415800641989</c:v>
                </c:pt>
                <c:pt idx="11">
                  <c:v>16804.550291168009</c:v>
                </c:pt>
                <c:pt idx="12">
                  <c:v>13303.737909514006</c:v>
                </c:pt>
                <c:pt idx="13">
                  <c:v>16978.764582061995</c:v>
                </c:pt>
                <c:pt idx="14">
                  <c:v>17386.629267354994</c:v>
                </c:pt>
                <c:pt idx="15">
                  <c:v>15767.666599438016</c:v>
                </c:pt>
                <c:pt idx="16">
                  <c:v>29432.141197899993</c:v>
                </c:pt>
                <c:pt idx="17">
                  <c:v>11843.720164017028</c:v>
                </c:pt>
                <c:pt idx="18">
                  <c:v>11639.140349186455</c:v>
                </c:pt>
                <c:pt idx="19">
                  <c:v>13146.856554949125</c:v>
                </c:pt>
              </c:numCache>
            </c:numRef>
          </c:val>
          <c:extLst>
            <c:ext xmlns:c16="http://schemas.microsoft.com/office/drawing/2014/chart" uri="{C3380CC4-5D6E-409C-BE32-E72D297353CC}">
              <c16:uniqueId val="{00000001-48B2-4C69-8D53-A3F676F6E6DC}"/>
            </c:ext>
          </c:extLst>
        </c:ser>
        <c:dLbls>
          <c:showLegendKey val="0"/>
          <c:showVal val="0"/>
          <c:showCatName val="0"/>
          <c:showSerName val="0"/>
          <c:showPercent val="0"/>
          <c:showBubbleSize val="0"/>
        </c:dLbls>
        <c:gapWidth val="219"/>
        <c:overlap val="-27"/>
        <c:axId val="1183648288"/>
        <c:axId val="1183662848"/>
      </c:barChart>
      <c:catAx>
        <c:axId val="118364828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662848"/>
        <c:crosses val="autoZero"/>
        <c:auto val="1"/>
        <c:lblAlgn val="ctr"/>
        <c:lblOffset val="100"/>
        <c:noMultiLvlLbl val="0"/>
      </c:catAx>
      <c:valAx>
        <c:axId val="118366284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648288"/>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Charts!$AA$485</c:f>
              <c:strCache>
                <c:ptCount val="1"/>
                <c:pt idx="0">
                  <c:v>African pre-tax profit/(loss)</c:v>
                </c:pt>
              </c:strCache>
            </c:strRef>
          </c:tx>
          <c:spPr>
            <a:solidFill>
              <a:srgbClr val="000080"/>
            </a:solidFill>
            <a:ln w="25400">
              <a:noFill/>
            </a:ln>
            <a:effectLst/>
          </c:spPr>
          <c:invertIfNegative val="0"/>
          <c:cat>
            <c:strRef>
              <c:f>Charts!$AB$484:$AU$484</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Charts!$AB$485:$AU$485</c:f>
              <c:numCache>
                <c:formatCode>#,##0</c:formatCode>
                <c:ptCount val="20"/>
                <c:pt idx="0">
                  <c:v>11829.187863265332</c:v>
                </c:pt>
                <c:pt idx="1">
                  <c:v>6921.5072146920393</c:v>
                </c:pt>
                <c:pt idx="2">
                  <c:v>8386.0428078699915</c:v>
                </c:pt>
                <c:pt idx="3">
                  <c:v>13018.606606826968</c:v>
                </c:pt>
                <c:pt idx="4">
                  <c:v>13222.224953258998</c:v>
                </c:pt>
                <c:pt idx="5">
                  <c:v>15662.350967222992</c:v>
                </c:pt>
                <c:pt idx="6">
                  <c:v>18682.546486510004</c:v>
                </c:pt>
                <c:pt idx="7">
                  <c:v>22706.510644103968</c:v>
                </c:pt>
                <c:pt idx="8">
                  <c:v>21724.109257386008</c:v>
                </c:pt>
                <c:pt idx="9">
                  <c:v>23175.390735781017</c:v>
                </c:pt>
                <c:pt idx="10">
                  <c:v>21208.855069253987</c:v>
                </c:pt>
                <c:pt idx="11">
                  <c:v>18864.608449846986</c:v>
                </c:pt>
                <c:pt idx="12">
                  <c:v>23370.301025781853</c:v>
                </c:pt>
                <c:pt idx="13">
                  <c:v>19125.719918827155</c:v>
                </c:pt>
                <c:pt idx="14">
                  <c:v>20530.322154781974</c:v>
                </c:pt>
                <c:pt idx="15">
                  <c:v>19130.515209532088</c:v>
                </c:pt>
                <c:pt idx="16">
                  <c:v>4568.745106986029</c:v>
                </c:pt>
                <c:pt idx="17">
                  <c:v>16967.173169438905</c:v>
                </c:pt>
                <c:pt idx="18">
                  <c:v>16293.722708280256</c:v>
                </c:pt>
                <c:pt idx="19">
                  <c:v>17871.099553270149</c:v>
                </c:pt>
              </c:numCache>
            </c:numRef>
          </c:val>
          <c:extLst>
            <c:ext xmlns:c16="http://schemas.microsoft.com/office/drawing/2014/chart" uri="{C3380CC4-5D6E-409C-BE32-E72D297353CC}">
              <c16:uniqueId val="{00000000-2ED3-4921-9442-4E0CB033670B}"/>
            </c:ext>
          </c:extLst>
        </c:ser>
        <c:ser>
          <c:idx val="1"/>
          <c:order val="1"/>
          <c:tx>
            <c:strRef>
              <c:f>Charts!$AA$486</c:f>
              <c:strCache>
                <c:ptCount val="1"/>
                <c:pt idx="0">
                  <c:v>African tax </c:v>
                </c:pt>
              </c:strCache>
            </c:strRef>
          </c:tx>
          <c:spPr>
            <a:solidFill>
              <a:srgbClr val="9999FF"/>
            </a:solidFill>
            <a:ln w="25400">
              <a:noFill/>
            </a:ln>
            <a:effectLst/>
          </c:spPr>
          <c:invertIfNegative val="0"/>
          <c:cat>
            <c:strRef>
              <c:f>Charts!$AB$484:$AU$484</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Charts!$AB$486:$AU$486</c:f>
              <c:numCache>
                <c:formatCode>#,##0</c:formatCode>
                <c:ptCount val="20"/>
                <c:pt idx="0">
                  <c:v>9366.6514552183362</c:v>
                </c:pt>
                <c:pt idx="1">
                  <c:v>4214.5072146920393</c:v>
                </c:pt>
                <c:pt idx="2">
                  <c:v>6210.2787311507418</c:v>
                </c:pt>
                <c:pt idx="3">
                  <c:v>9359.2222772142177</c:v>
                </c:pt>
                <c:pt idx="4">
                  <c:v>10205.45549792</c:v>
                </c:pt>
                <c:pt idx="5">
                  <c:v>10743.100952881003</c:v>
                </c:pt>
                <c:pt idx="6">
                  <c:v>13721.949985421001</c:v>
                </c:pt>
                <c:pt idx="7">
                  <c:v>16128.558177182998</c:v>
                </c:pt>
                <c:pt idx="8">
                  <c:v>15497.037001563</c:v>
                </c:pt>
                <c:pt idx="9">
                  <c:v>16006.226543364002</c:v>
                </c:pt>
                <c:pt idx="10">
                  <c:v>15088.445094963998</c:v>
                </c:pt>
                <c:pt idx="11">
                  <c:v>14039.608449846986</c:v>
                </c:pt>
                <c:pt idx="12">
                  <c:v>16446.233709046006</c:v>
                </c:pt>
                <c:pt idx="13">
                  <c:v>14271.719918827155</c:v>
                </c:pt>
                <c:pt idx="14">
                  <c:v>13787.837580961002</c:v>
                </c:pt>
                <c:pt idx="15">
                  <c:v>13801.698118389997</c:v>
                </c:pt>
                <c:pt idx="16">
                  <c:v>4492.7807727830077</c:v>
                </c:pt>
                <c:pt idx="17">
                  <c:v>11647.065163880992</c:v>
                </c:pt>
                <c:pt idx="18">
                  <c:v>12276.848353492845</c:v>
                </c:pt>
                <c:pt idx="19">
                  <c:v>13317.569034148373</c:v>
                </c:pt>
              </c:numCache>
            </c:numRef>
          </c:val>
          <c:extLst>
            <c:ext xmlns:c16="http://schemas.microsoft.com/office/drawing/2014/chart" uri="{C3380CC4-5D6E-409C-BE32-E72D297353CC}">
              <c16:uniqueId val="{00000001-2ED3-4921-9442-4E0CB033670B}"/>
            </c:ext>
          </c:extLst>
        </c:ser>
        <c:dLbls>
          <c:showLegendKey val="0"/>
          <c:showVal val="0"/>
          <c:showCatName val="0"/>
          <c:showSerName val="0"/>
          <c:showPercent val="0"/>
          <c:showBubbleSize val="0"/>
        </c:dLbls>
        <c:gapWidth val="219"/>
        <c:overlap val="-27"/>
        <c:axId val="1116900160"/>
        <c:axId val="1116883520"/>
      </c:barChart>
      <c:catAx>
        <c:axId val="111690016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6883520"/>
        <c:crosses val="autoZero"/>
        <c:auto val="1"/>
        <c:lblAlgn val="ctr"/>
        <c:lblOffset val="100"/>
        <c:noMultiLvlLbl val="0"/>
      </c:catAx>
      <c:valAx>
        <c:axId val="111688352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690016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Charts!$AA$491</c:f>
              <c:strCache>
                <c:ptCount val="1"/>
                <c:pt idx="0">
                  <c:v>Avg capex</c:v>
                </c:pt>
              </c:strCache>
            </c:strRef>
          </c:tx>
          <c:spPr>
            <a:solidFill>
              <a:srgbClr val="000080"/>
            </a:solidFill>
            <a:ln w="25400">
              <a:noFill/>
            </a:ln>
            <a:effectLst/>
          </c:spPr>
          <c:invertIfNegative val="0"/>
          <c:cat>
            <c:strRef>
              <c:f>Charts!$AB$490:$AU$490</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Charts!$AB$491:$AU$491</c:f>
              <c:numCache>
                <c:formatCode>#,##0</c:formatCode>
                <c:ptCount val="20"/>
                <c:pt idx="0">
                  <c:v>12356.381870567544</c:v>
                </c:pt>
                <c:pt idx="1">
                  <c:v>11459.684110086204</c:v>
                </c:pt>
                <c:pt idx="2">
                  <c:v>10978.906325333694</c:v>
                </c:pt>
                <c:pt idx="3">
                  <c:v>11183.843825333694</c:v>
                </c:pt>
                <c:pt idx="4">
                  <c:v>11970.148645833333</c:v>
                </c:pt>
                <c:pt idx="5">
                  <c:v>11357.231770833334</c:v>
                </c:pt>
                <c:pt idx="6">
                  <c:v>12054.954895833334</c:v>
                </c:pt>
                <c:pt idx="7">
                  <c:v>11847.297741952716</c:v>
                </c:pt>
                <c:pt idx="8">
                  <c:v>11883.061491952716</c:v>
                </c:pt>
                <c:pt idx="9">
                  <c:v>12222.687662174414</c:v>
                </c:pt>
                <c:pt idx="10">
                  <c:v>12994.105787174412</c:v>
                </c:pt>
                <c:pt idx="11">
                  <c:v>13790.325441055031</c:v>
                </c:pt>
                <c:pt idx="12">
                  <c:v>13318.368157721698</c:v>
                </c:pt>
                <c:pt idx="13">
                  <c:v>15100.1588625</c:v>
                </c:pt>
                <c:pt idx="14">
                  <c:v>15255.762112500001</c:v>
                </c:pt>
                <c:pt idx="15">
                  <c:v>15427.722820833334</c:v>
                </c:pt>
                <c:pt idx="16">
                  <c:v>16194.810762500001</c:v>
                </c:pt>
                <c:pt idx="17">
                  <c:v>15257.103275000001</c:v>
                </c:pt>
                <c:pt idx="18">
                  <c:v>15444.886237500003</c:v>
                </c:pt>
                <c:pt idx="19">
                  <c:v>15435.491270833334</c:v>
                </c:pt>
              </c:numCache>
            </c:numRef>
          </c:val>
          <c:extLst>
            <c:ext xmlns:c16="http://schemas.microsoft.com/office/drawing/2014/chart" uri="{C3380CC4-5D6E-409C-BE32-E72D297353CC}">
              <c16:uniqueId val="{00000000-1E26-4A10-838E-52AE5EDE8876}"/>
            </c:ext>
          </c:extLst>
        </c:ser>
        <c:dLbls>
          <c:showLegendKey val="0"/>
          <c:showVal val="0"/>
          <c:showCatName val="0"/>
          <c:showSerName val="0"/>
          <c:showPercent val="0"/>
          <c:showBubbleSize val="0"/>
        </c:dLbls>
        <c:gapWidth val="219"/>
        <c:overlap val="-27"/>
        <c:axId val="1116825696"/>
        <c:axId val="1116810304"/>
      </c:barChart>
      <c:catAx>
        <c:axId val="1116825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6810304"/>
        <c:crosses val="autoZero"/>
        <c:auto val="1"/>
        <c:lblAlgn val="ctr"/>
        <c:lblOffset val="100"/>
        <c:noMultiLvlLbl val="0"/>
      </c:catAx>
      <c:valAx>
        <c:axId val="1116810304"/>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682569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Charts!$AA$505</c:f>
              <c:strCache>
                <c:ptCount val="1"/>
                <c:pt idx="0">
                  <c:v>Cumulative investments.</c:v>
                </c:pt>
              </c:strCache>
            </c:strRef>
          </c:tx>
          <c:spPr>
            <a:solidFill>
              <a:srgbClr val="000080"/>
            </a:solidFill>
            <a:ln w="25400">
              <a:noFill/>
            </a:ln>
            <a:effectLst/>
          </c:spPr>
          <c:invertIfNegative val="0"/>
          <c:cat>
            <c:strRef>
              <c:f>Charts!$AB$504:$AU$504</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Charts!$AB$505:$AU$505</c:f>
              <c:numCache>
                <c:formatCode>#,##0</c:formatCode>
                <c:ptCount val="20"/>
                <c:pt idx="0">
                  <c:v>606433.83880473906</c:v>
                </c:pt>
                <c:pt idx="1">
                  <c:v>626556</c:v>
                </c:pt>
                <c:pt idx="2">
                  <c:v>630102.67843688896</c:v>
                </c:pt>
                <c:pt idx="3">
                  <c:v>637823.65140328917</c:v>
                </c:pt>
                <c:pt idx="4">
                  <c:v>650293.56305231899</c:v>
                </c:pt>
                <c:pt idx="5">
                  <c:v>654288.55813338305</c:v>
                </c:pt>
                <c:pt idx="6">
                  <c:v>659232.22592186788</c:v>
                </c:pt>
                <c:pt idx="7">
                  <c:v>669934.40687324293</c:v>
                </c:pt>
                <c:pt idx="8">
                  <c:v>670024.65129670093</c:v>
                </c:pt>
                <c:pt idx="9">
                  <c:v>692624.02579770295</c:v>
                </c:pt>
                <c:pt idx="10">
                  <c:v>706046.63053100405</c:v>
                </c:pt>
                <c:pt idx="11">
                  <c:v>719394</c:v>
                </c:pt>
                <c:pt idx="12">
                  <c:v>774270.26319682808</c:v>
                </c:pt>
                <c:pt idx="13">
                  <c:v>791587</c:v>
                </c:pt>
                <c:pt idx="14">
                  <c:v>664092.79058315803</c:v>
                </c:pt>
                <c:pt idx="15">
                  <c:v>654169.53784988401</c:v>
                </c:pt>
                <c:pt idx="16">
                  <c:v>613741.15145865106</c:v>
                </c:pt>
                <c:pt idx="17">
                  <c:v>589292.05753938889</c:v>
                </c:pt>
                <c:pt idx="18">
                  <c:v>598009.44432199991</c:v>
                </c:pt>
                <c:pt idx="19">
                  <c:v>601732.01513000007</c:v>
                </c:pt>
              </c:numCache>
            </c:numRef>
          </c:val>
          <c:extLst>
            <c:ext xmlns:c16="http://schemas.microsoft.com/office/drawing/2014/chart" uri="{C3380CC4-5D6E-409C-BE32-E72D297353CC}">
              <c16:uniqueId val="{00000000-0940-4B87-A81D-D28256878B34}"/>
            </c:ext>
          </c:extLst>
        </c:ser>
        <c:dLbls>
          <c:showLegendKey val="0"/>
          <c:showVal val="0"/>
          <c:showCatName val="0"/>
          <c:showSerName val="0"/>
          <c:showPercent val="0"/>
          <c:showBubbleSize val="0"/>
        </c:dLbls>
        <c:gapWidth val="219"/>
        <c:overlap val="-27"/>
        <c:axId val="1116843584"/>
        <c:axId val="1116855232"/>
      </c:barChart>
      <c:catAx>
        <c:axId val="1116843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6855232"/>
        <c:crosses val="autoZero"/>
        <c:auto val="1"/>
        <c:lblAlgn val="ctr"/>
        <c:lblOffset val="100"/>
        <c:noMultiLvlLbl val="0"/>
      </c:catAx>
      <c:valAx>
        <c:axId val="111685523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6843584"/>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rgbClr val="263238"/>
            </a:solidFill>
            <a:ln>
              <a:noFill/>
            </a:ln>
            <a:effectLst/>
          </c:spPr>
          <c:invertIfNegative val="0"/>
          <c:cat>
            <c:strRef>
              <c:f>'Domestic Mobile Operations'!$E$130:$AX$130</c:f>
              <c:strCache>
                <c:ptCount val="46"/>
                <c:pt idx="0">
                  <c:v>4Q12</c:v>
                </c:pt>
                <c:pt idx="1">
                  <c:v>1Q13</c:v>
                </c:pt>
                <c:pt idx="2">
                  <c:v>2Q13</c:v>
                </c:pt>
                <c:pt idx="3">
                  <c:v>3Q13</c:v>
                </c:pt>
                <c:pt idx="4">
                  <c:v>4Q13</c:v>
                </c:pt>
                <c:pt idx="5">
                  <c:v>1Q14</c:v>
                </c:pt>
                <c:pt idx="6">
                  <c:v>2Q14</c:v>
                </c:pt>
                <c:pt idx="7">
                  <c:v>3Q14</c:v>
                </c:pt>
                <c:pt idx="8">
                  <c:v>4Q14</c:v>
                </c:pt>
                <c:pt idx="9">
                  <c:v>1Q15</c:v>
                </c:pt>
                <c:pt idx="10">
                  <c:v>2Q15</c:v>
                </c:pt>
                <c:pt idx="11">
                  <c:v>3Q15</c:v>
                </c:pt>
                <c:pt idx="12">
                  <c:v>4Q15</c:v>
                </c:pt>
                <c:pt idx="13">
                  <c:v>1Q16</c:v>
                </c:pt>
                <c:pt idx="14">
                  <c:v>2Q16</c:v>
                </c:pt>
                <c:pt idx="15">
                  <c:v>3Q16</c:v>
                </c:pt>
                <c:pt idx="16">
                  <c:v>4Q16</c:v>
                </c:pt>
                <c:pt idx="17">
                  <c:v>1Q17</c:v>
                </c:pt>
                <c:pt idx="18">
                  <c:v>2Q17</c:v>
                </c:pt>
                <c:pt idx="19">
                  <c:v>3Q17</c:v>
                </c:pt>
                <c:pt idx="20">
                  <c:v>4Q17</c:v>
                </c:pt>
                <c:pt idx="21">
                  <c:v>1Q18</c:v>
                </c:pt>
                <c:pt idx="22">
                  <c:v>2Q18</c:v>
                </c:pt>
                <c:pt idx="23">
                  <c:v>3Q18</c:v>
                </c:pt>
                <c:pt idx="24">
                  <c:v>4Q18</c:v>
                </c:pt>
                <c:pt idx="25">
                  <c:v>1Q19</c:v>
                </c:pt>
                <c:pt idx="26">
                  <c:v>2Q19</c:v>
                </c:pt>
                <c:pt idx="27">
                  <c:v>3Q19</c:v>
                </c:pt>
                <c:pt idx="28">
                  <c:v>4Q19</c:v>
                </c:pt>
                <c:pt idx="29">
                  <c:v>1Q20</c:v>
                </c:pt>
                <c:pt idx="30">
                  <c:v>2Q20</c:v>
                </c:pt>
                <c:pt idx="31">
                  <c:v>3Q20</c:v>
                </c:pt>
                <c:pt idx="32">
                  <c:v>4Q20</c:v>
                </c:pt>
                <c:pt idx="33">
                  <c:v>1Q21</c:v>
                </c:pt>
                <c:pt idx="34">
                  <c:v>2Q21</c:v>
                </c:pt>
                <c:pt idx="35">
                  <c:v>3Q21</c:v>
                </c:pt>
                <c:pt idx="36">
                  <c:v>4Q21</c:v>
                </c:pt>
                <c:pt idx="37">
                  <c:v>1Q22</c:v>
                </c:pt>
                <c:pt idx="38">
                  <c:v>2Q22</c:v>
                </c:pt>
                <c:pt idx="39">
                  <c:v>3Q22</c:v>
                </c:pt>
                <c:pt idx="40">
                  <c:v>4Q22</c:v>
                </c:pt>
                <c:pt idx="41">
                  <c:v>1Q23</c:v>
                </c:pt>
                <c:pt idx="42">
                  <c:v>2Q23</c:v>
                </c:pt>
                <c:pt idx="43">
                  <c:v>3Q23</c:v>
                </c:pt>
                <c:pt idx="44">
                  <c:v>4Q23</c:v>
                </c:pt>
                <c:pt idx="45">
                  <c:v>1Q24</c:v>
                </c:pt>
              </c:strCache>
            </c:strRef>
          </c:cat>
          <c:val>
            <c:numRef>
              <c:f>'Domestic Mobile Operations'!$E$131:$AX$131</c:f>
              <c:numCache>
                <c:formatCode>0.0%</c:formatCode>
                <c:ptCount val="46"/>
                <c:pt idx="0">
                  <c:v>8.8063733478201803E-2</c:v>
                </c:pt>
                <c:pt idx="1">
                  <c:v>8.7796624031624013E-2</c:v>
                </c:pt>
                <c:pt idx="2">
                  <c:v>8.6834826942335699E-2</c:v>
                </c:pt>
                <c:pt idx="3">
                  <c:v>7.979252090772862E-2</c:v>
                </c:pt>
                <c:pt idx="4">
                  <c:v>6.5728158770670245E-2</c:v>
                </c:pt>
                <c:pt idx="5">
                  <c:v>5.1857016107866805E-2</c:v>
                </c:pt>
                <c:pt idx="6">
                  <c:v>3.867275610745205E-2</c:v>
                </c:pt>
                <c:pt idx="7">
                  <c:v>3.0720233401900592E-2</c:v>
                </c:pt>
                <c:pt idx="8">
                  <c:v>2.8826269317969645E-2</c:v>
                </c:pt>
                <c:pt idx="9">
                  <c:v>2.7562111433705131E-2</c:v>
                </c:pt>
                <c:pt idx="10">
                  <c:v>2.718675990639462E-2</c:v>
                </c:pt>
                <c:pt idx="11">
                  <c:v>2.7113465292159852E-2</c:v>
                </c:pt>
                <c:pt idx="12">
                  <c:v>2.7337679626742689E-2</c:v>
                </c:pt>
                <c:pt idx="13">
                  <c:v>2.8827600140910487E-2</c:v>
                </c:pt>
                <c:pt idx="14">
                  <c:v>2.9871593112603796E-2</c:v>
                </c:pt>
                <c:pt idx="15">
                  <c:v>3.1853335785331255E-2</c:v>
                </c:pt>
                <c:pt idx="16">
                  <c:v>3.3745930870161422E-2</c:v>
                </c:pt>
                <c:pt idx="17">
                  <c:v>3.4422027362355279E-2</c:v>
                </c:pt>
                <c:pt idx="18">
                  <c:v>3.4878832682573413E-2</c:v>
                </c:pt>
                <c:pt idx="19">
                  <c:v>3.6580429576163059E-2</c:v>
                </c:pt>
                <c:pt idx="20">
                  <c:v>3.7473397037265425E-2</c:v>
                </c:pt>
                <c:pt idx="21">
                  <c:v>3.8073727611877342E-2</c:v>
                </c:pt>
                <c:pt idx="22">
                  <c:v>3.8654732656751387E-2</c:v>
                </c:pt>
                <c:pt idx="23">
                  <c:v>3.6691753578116396E-2</c:v>
                </c:pt>
                <c:pt idx="24">
                  <c:v>3.4536097634855677E-2</c:v>
                </c:pt>
                <c:pt idx="25">
                  <c:v>2.9984533681321909E-2</c:v>
                </c:pt>
                <c:pt idx="26">
                  <c:v>3.0462171726263924E-2</c:v>
                </c:pt>
                <c:pt idx="27">
                  <c:v>4.0344944300629237E-2</c:v>
                </c:pt>
                <c:pt idx="28">
                  <c:v>4.043321621481346E-2</c:v>
                </c:pt>
                <c:pt idx="29">
                  <c:v>4.1971354488180061E-2</c:v>
                </c:pt>
                <c:pt idx="30">
                  <c:v>3.6993716443238039E-2</c:v>
                </c:pt>
                <c:pt idx="31">
                  <c:v>2.5330729082671609E-2</c:v>
                </c:pt>
                <c:pt idx="32">
                  <c:v>2.475703386047276E-2</c:v>
                </c:pt>
                <c:pt idx="33">
                  <c:v>2.3788901484896229E-2</c:v>
                </c:pt>
                <c:pt idx="34">
                  <c:v>2.284311355613516E-2</c:v>
                </c:pt>
                <c:pt idx="35">
                  <c:v>2.1073736081520952E-2</c:v>
                </c:pt>
                <c:pt idx="36">
                  <c:v>2.0265621994278421E-2</c:v>
                </c:pt>
                <c:pt idx="37">
                  <c:v>2.1729092730325705E-2</c:v>
                </c:pt>
                <c:pt idx="38">
                  <c:v>2.4934424847383209E-2</c:v>
                </c:pt>
                <c:pt idx="39">
                  <c:v>2.7428727157365638E-2</c:v>
                </c:pt>
                <c:pt idx="40">
                  <c:v>2.8845298293277862E-2</c:v>
                </c:pt>
                <c:pt idx="41">
                  <c:v>2.9281417122305323E-2</c:v>
                </c:pt>
                <c:pt idx="42">
                  <c:v>2.9908490916192507E-2</c:v>
                </c:pt>
                <c:pt idx="43">
                  <c:v>3.0015141696454244E-2</c:v>
                </c:pt>
                <c:pt idx="44">
                  <c:v>2.9987693775362017E-2</c:v>
                </c:pt>
                <c:pt idx="45">
                  <c:v>2.9514293222378182E-2</c:v>
                </c:pt>
              </c:numCache>
            </c:numRef>
          </c:val>
          <c:extLst>
            <c:ext xmlns:c16="http://schemas.microsoft.com/office/drawing/2014/chart" uri="{C3380CC4-5D6E-409C-BE32-E72D297353CC}">
              <c16:uniqueId val="{00000000-A325-4D22-BC1F-61EAC2BE42D9}"/>
            </c:ext>
          </c:extLst>
        </c:ser>
        <c:dLbls>
          <c:showLegendKey val="0"/>
          <c:showVal val="0"/>
          <c:showCatName val="0"/>
          <c:showSerName val="0"/>
          <c:showPercent val="0"/>
          <c:showBubbleSize val="0"/>
        </c:dLbls>
        <c:gapWidth val="30"/>
        <c:axId val="1495160607"/>
        <c:axId val="1495161855"/>
        <c:extLst/>
      </c:barChart>
      <c:catAx>
        <c:axId val="149516060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0"/>
        <c:lblAlgn val="ctr"/>
        <c:lblOffset val="100"/>
        <c:noMultiLvlLbl val="0"/>
      </c:catAx>
      <c:valAx>
        <c:axId val="1495161855"/>
        <c:scaling>
          <c:orientation val="minMax"/>
        </c:scaling>
        <c:delete val="0"/>
        <c:axPos val="l"/>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'Other India financials'!$AD$61:$AU$61</c:f>
              <c:strCache>
                <c:ptCount val="18"/>
                <c:pt idx="0">
                  <c:v> 1Q19 </c:v>
                </c:pt>
                <c:pt idx="1">
                  <c:v> 2Q19 </c:v>
                </c:pt>
                <c:pt idx="2">
                  <c:v> 3Q19 </c:v>
                </c:pt>
                <c:pt idx="3">
                  <c:v> 4Q19 </c:v>
                </c:pt>
                <c:pt idx="4">
                  <c:v> 1Q20 </c:v>
                </c:pt>
                <c:pt idx="5">
                  <c:v> 2Q20 </c:v>
                </c:pt>
                <c:pt idx="6">
                  <c:v> 3Q20 </c:v>
                </c:pt>
                <c:pt idx="7">
                  <c:v> 4Q20 </c:v>
                </c:pt>
                <c:pt idx="8">
                  <c:v> 1Q21 </c:v>
                </c:pt>
                <c:pt idx="9">
                  <c:v> 2Q21 </c:v>
                </c:pt>
                <c:pt idx="10">
                  <c:v> 3Q21 </c:v>
                </c:pt>
                <c:pt idx="11">
                  <c:v> 4Q21 </c:v>
                </c:pt>
                <c:pt idx="12">
                  <c:v> 1Q22 </c:v>
                </c:pt>
                <c:pt idx="13">
                  <c:v> 2Q22 </c:v>
                </c:pt>
                <c:pt idx="14">
                  <c:v> 3Q22 </c:v>
                </c:pt>
                <c:pt idx="15">
                  <c:v> 4Q22 </c:v>
                </c:pt>
                <c:pt idx="16">
                  <c:v> 1Q23 </c:v>
                </c:pt>
                <c:pt idx="17">
                  <c:v> 2Q23 </c:v>
                </c:pt>
              </c:strCache>
            </c:strRef>
          </c:cat>
          <c:val>
            <c:numRef>
              <c:f>'Other India financials'!$AD$62:$AT$62</c:f>
              <c:numCache>
                <c:formatCode>_-* #,##0_-;\-* #,##0_-;_-* "-"??_-;_-@_-</c:formatCode>
                <c:ptCount val="17"/>
              </c:numCache>
            </c:numRef>
          </c:val>
          <c:extLst>
            <c:ext xmlns:c16="http://schemas.microsoft.com/office/drawing/2014/chart" uri="{C3380CC4-5D6E-409C-BE32-E72D297353CC}">
              <c16:uniqueId val="{00000000-3AC6-476A-8876-8B65B738C694}"/>
            </c:ext>
          </c:extLst>
        </c:ser>
        <c:ser>
          <c:idx val="1"/>
          <c:order val="1"/>
          <c:spPr>
            <a:solidFill>
              <a:srgbClr val="799098"/>
            </a:solidFill>
            <a:ln>
              <a:noFill/>
            </a:ln>
            <a:effectLst/>
          </c:spPr>
          <c:invertIfNegative val="0"/>
          <c:cat>
            <c:strRef>
              <c:f>'Other India financials'!$AD$61:$AU$61</c:f>
              <c:strCache>
                <c:ptCount val="18"/>
                <c:pt idx="0">
                  <c:v> 1Q19 </c:v>
                </c:pt>
                <c:pt idx="1">
                  <c:v> 2Q19 </c:v>
                </c:pt>
                <c:pt idx="2">
                  <c:v> 3Q19 </c:v>
                </c:pt>
                <c:pt idx="3">
                  <c:v> 4Q19 </c:v>
                </c:pt>
                <c:pt idx="4">
                  <c:v> 1Q20 </c:v>
                </c:pt>
                <c:pt idx="5">
                  <c:v> 2Q20 </c:v>
                </c:pt>
                <c:pt idx="6">
                  <c:v> 3Q20 </c:v>
                </c:pt>
                <c:pt idx="7">
                  <c:v> 4Q20 </c:v>
                </c:pt>
                <c:pt idx="8">
                  <c:v> 1Q21 </c:v>
                </c:pt>
                <c:pt idx="9">
                  <c:v> 2Q21 </c:v>
                </c:pt>
                <c:pt idx="10">
                  <c:v> 3Q21 </c:v>
                </c:pt>
                <c:pt idx="11">
                  <c:v> 4Q21 </c:v>
                </c:pt>
                <c:pt idx="12">
                  <c:v> 1Q22 </c:v>
                </c:pt>
                <c:pt idx="13">
                  <c:v> 2Q22 </c:v>
                </c:pt>
                <c:pt idx="14">
                  <c:v> 3Q22 </c:v>
                </c:pt>
                <c:pt idx="15">
                  <c:v> 4Q22 </c:v>
                </c:pt>
                <c:pt idx="16">
                  <c:v> 1Q23 </c:v>
                </c:pt>
                <c:pt idx="17">
                  <c:v> 2Q23 </c:v>
                </c:pt>
              </c:strCache>
            </c:strRef>
          </c:cat>
          <c:val>
            <c:numRef>
              <c:f>'Other India financials'!$AD$64:$AU$64</c:f>
              <c:numCache>
                <c:formatCode>0.0%</c:formatCode>
                <c:ptCount val="18"/>
                <c:pt idx="0">
                  <c:v>-0.1429988838322247</c:v>
                </c:pt>
                <c:pt idx="1">
                  <c:v>-0.11932254185644731</c:v>
                </c:pt>
                <c:pt idx="2">
                  <c:v>-0.10563043352222845</c:v>
                </c:pt>
                <c:pt idx="3">
                  <c:v>-8.3746014665010526E-2</c:v>
                </c:pt>
                <c:pt idx="4">
                  <c:v>-6.9883356767234117E-3</c:v>
                </c:pt>
                <c:pt idx="5">
                  <c:v>-2.3589607128154388E-2</c:v>
                </c:pt>
                <c:pt idx="6">
                  <c:v>7.9104601029496013E-3</c:v>
                </c:pt>
                <c:pt idx="7">
                  <c:v>3.4234909675314951E-2</c:v>
                </c:pt>
                <c:pt idx="8">
                  <c:v>1.418708859121609E-2</c:v>
                </c:pt>
                <c:pt idx="9">
                  <c:v>7.2771201826483889E-2</c:v>
                </c:pt>
                <c:pt idx="10">
                  <c:v>2.2970493372342915E-2</c:v>
                </c:pt>
                <c:pt idx="11">
                  <c:v>4.9602356106049239E-2</c:v>
                </c:pt>
                <c:pt idx="12">
                  <c:v>0.12910749101335894</c:v>
                </c:pt>
                <c:pt idx="13">
                  <c:v>0.21343223755544249</c:v>
                </c:pt>
                <c:pt idx="14">
                  <c:v>0.40448533569251621</c:v>
                </c:pt>
                <c:pt idx="15">
                  <c:v>0.45813414753843862</c:v>
                </c:pt>
                <c:pt idx="16">
                  <c:v>0.41820574678160805</c:v>
                </c:pt>
                <c:pt idx="17">
                  <c:v>0.38886113946962308</c:v>
                </c:pt>
              </c:numCache>
            </c:numRef>
          </c:val>
          <c:extLst>
            <c:ext xmlns:c16="http://schemas.microsoft.com/office/drawing/2014/chart" uri="{C3380CC4-5D6E-409C-BE32-E72D297353CC}">
              <c16:uniqueId val="{00000001-3AC6-476A-8876-8B65B738C694}"/>
            </c:ext>
          </c:extLst>
        </c:ser>
        <c:ser>
          <c:idx val="2"/>
          <c:order val="2"/>
          <c:spPr>
            <a:solidFill>
              <a:srgbClr val="F9663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'Other India financials'!$AD$61:$AU$61</c:f>
              <c:strCache>
                <c:ptCount val="18"/>
                <c:pt idx="0">
                  <c:v> 1Q19 </c:v>
                </c:pt>
                <c:pt idx="1">
                  <c:v> 2Q19 </c:v>
                </c:pt>
                <c:pt idx="2">
                  <c:v> 3Q19 </c:v>
                </c:pt>
                <c:pt idx="3">
                  <c:v> 4Q19 </c:v>
                </c:pt>
                <c:pt idx="4">
                  <c:v> 1Q20 </c:v>
                </c:pt>
                <c:pt idx="5">
                  <c:v> 2Q20 </c:v>
                </c:pt>
                <c:pt idx="6">
                  <c:v> 3Q20 </c:v>
                </c:pt>
                <c:pt idx="7">
                  <c:v> 4Q20 </c:v>
                </c:pt>
                <c:pt idx="8">
                  <c:v> 1Q21 </c:v>
                </c:pt>
                <c:pt idx="9">
                  <c:v> 2Q21 </c:v>
                </c:pt>
                <c:pt idx="10">
                  <c:v> 3Q21 </c:v>
                </c:pt>
                <c:pt idx="11">
                  <c:v> 4Q21 </c:v>
                </c:pt>
                <c:pt idx="12">
                  <c:v> 1Q22 </c:v>
                </c:pt>
                <c:pt idx="13">
                  <c:v> 2Q22 </c:v>
                </c:pt>
                <c:pt idx="14">
                  <c:v> 3Q22 </c:v>
                </c:pt>
                <c:pt idx="15">
                  <c:v> 4Q22 </c:v>
                </c:pt>
                <c:pt idx="16">
                  <c:v> 1Q23 </c:v>
                </c:pt>
                <c:pt idx="17">
                  <c:v> 2Q23 </c:v>
                </c:pt>
              </c:strCache>
            </c:strRef>
          </c:cat>
          <c:val>
            <c:numRef>
              <c:f>'Other India financials'!$AD$63:$AT$63</c:f>
              <c:numCache>
                <c:formatCode>General</c:formatCode>
                <c:ptCount val="17"/>
              </c:numCache>
            </c:numRef>
          </c:val>
          <c:extLst>
            <c:ext xmlns:c16="http://schemas.microsoft.com/office/drawing/2014/chart" uri="{C3380CC4-5D6E-409C-BE32-E72D297353CC}">
              <c16:uniqueId val="{00000002-3AC6-476A-8876-8B65B738C694}"/>
            </c:ext>
          </c:extLst>
        </c:ser>
        <c:dLbls>
          <c:showLegendKey val="0"/>
          <c:showVal val="0"/>
          <c:showCatName val="0"/>
          <c:showSerName val="0"/>
          <c:showPercent val="0"/>
          <c:showBubbleSize val="0"/>
        </c:dLbls>
        <c:gapWidth val="30"/>
        <c:overlap val="100"/>
        <c:axId val="1495160607"/>
        <c:axId val="1495161855"/>
      </c:barChart>
      <c:catAx>
        <c:axId val="1495160607"/>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v>Home Services ARPU - YoY %</c:v>
          </c:tx>
          <c:spPr>
            <a:ln w="28575" cap="rnd">
              <a:solidFill>
                <a:srgbClr val="263238"/>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'Other India Operations'!$AL$1:$AY$1</c:f>
              <c:strCache>
                <c:ptCount val="14"/>
                <c:pt idx="0">
                  <c:v>1Q21</c:v>
                </c:pt>
                <c:pt idx="1">
                  <c:v>2Q21</c:v>
                </c:pt>
                <c:pt idx="2">
                  <c:v>3Q21</c:v>
                </c:pt>
                <c:pt idx="3">
                  <c:v>4Q21</c:v>
                </c:pt>
                <c:pt idx="4">
                  <c:v>1Q22</c:v>
                </c:pt>
                <c:pt idx="5">
                  <c:v>2Q22</c:v>
                </c:pt>
                <c:pt idx="6">
                  <c:v>3Q22</c:v>
                </c:pt>
                <c:pt idx="7">
                  <c:v>4Q22</c:v>
                </c:pt>
                <c:pt idx="8">
                  <c:v>1Q23</c:v>
                </c:pt>
                <c:pt idx="9">
                  <c:v>2Q23</c:v>
                </c:pt>
                <c:pt idx="10">
                  <c:v>3Q23</c:v>
                </c:pt>
                <c:pt idx="11">
                  <c:v>4Q23</c:v>
                </c:pt>
                <c:pt idx="12">
                  <c:v>1Q24</c:v>
                </c:pt>
                <c:pt idx="13">
                  <c:v>2Q24</c:v>
                </c:pt>
              </c:strCache>
            </c:strRef>
          </c:cat>
          <c:val>
            <c:numRef>
              <c:f>'Other India Operations'!$AL$49:$AY$49</c:f>
              <c:numCache>
                <c:formatCode>0.0%</c:formatCode>
                <c:ptCount val="14"/>
                <c:pt idx="0">
                  <c:v>-2.7878787878787836E-2</c:v>
                </c:pt>
                <c:pt idx="1">
                  <c:v>7.7473198354038875E-3</c:v>
                </c:pt>
                <c:pt idx="2">
                  <c:v>-0.10474089584905355</c:v>
                </c:pt>
                <c:pt idx="3">
                  <c:v>-0.1483857065385018</c:v>
                </c:pt>
                <c:pt idx="4">
                  <c:v>-0.1508728179551122</c:v>
                </c:pt>
                <c:pt idx="5">
                  <c:v>-0.15583218733164428</c:v>
                </c:pt>
                <c:pt idx="6">
                  <c:v>-6.8085106382978711E-2</c:v>
                </c:pt>
                <c:pt idx="7">
                  <c:v>-4.9799415063585539E-2</c:v>
                </c:pt>
                <c:pt idx="8">
                  <c:v>-4.2502484176508148E-2</c:v>
                </c:pt>
                <c:pt idx="9">
                  <c:v>-2.2827615868918683E-2</c:v>
                </c:pt>
                <c:pt idx="10">
                  <c:v>-5.0770999828197549E-2</c:v>
                </c:pt>
                <c:pt idx="11">
                  <c:v>-5.4984991854889143E-2</c:v>
                </c:pt>
                <c:pt idx="12">
                  <c:v>-6.7144530129635616E-2</c:v>
                </c:pt>
                <c:pt idx="13">
                  <c:v>-7.8796050319301703E-2</c:v>
                </c:pt>
              </c:numCache>
            </c:numRef>
          </c:val>
          <c:smooth val="0"/>
          <c:extLst>
            <c:ext xmlns:c16="http://schemas.microsoft.com/office/drawing/2014/chart" uri="{C3380CC4-5D6E-409C-BE32-E72D297353CC}">
              <c16:uniqueId val="{00000001-57B5-4865-8EA9-E2D53FF1EBBD}"/>
            </c:ext>
          </c:extLst>
        </c:ser>
        <c:dLbls>
          <c:dLblPos val="t"/>
          <c:showLegendKey val="0"/>
          <c:showVal val="1"/>
          <c:showCatName val="0"/>
          <c:showSerName val="0"/>
          <c:showPercent val="0"/>
          <c:showBubbleSize val="0"/>
        </c:dLbls>
        <c:smooth val="0"/>
        <c:axId val="1495160607"/>
        <c:axId val="1495161855"/>
        <c:extLst/>
      </c:lineChart>
      <c:catAx>
        <c:axId val="1495160607"/>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Charts!$AA$22</c:f>
              <c:strCache>
                <c:ptCount val="1"/>
                <c:pt idx="0">
                  <c:v>Revenue from operations</c:v>
                </c:pt>
              </c:strCache>
            </c:strRef>
          </c:tx>
          <c:spPr>
            <a:solidFill>
              <a:schemeClr val="accent5">
                <a:lumMod val="75000"/>
              </a:schemeClr>
            </a:solidFill>
            <a:ln w="25400">
              <a:noFill/>
            </a:ln>
            <a:effectLst/>
          </c:spPr>
          <c:invertIfNegative val="0"/>
          <c:cat>
            <c:strRef>
              <c:f>Charts!$AB$21:$AU$21</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Charts!$AB$22:$AU$22</c:f>
              <c:numCache>
                <c:formatCode>#,##0</c:formatCode>
                <c:ptCount val="20"/>
                <c:pt idx="0">
                  <c:v>219471</c:v>
                </c:pt>
                <c:pt idx="1">
                  <c:v>230187</c:v>
                </c:pt>
                <c:pt idx="2">
                  <c:v>232903</c:v>
                </c:pt>
                <c:pt idx="3">
                  <c:v>250604</c:v>
                </c:pt>
                <c:pt idx="4">
                  <c:v>265178</c:v>
                </c:pt>
                <c:pt idx="5">
                  <c:v>257473</c:v>
                </c:pt>
                <c:pt idx="6">
                  <c:v>268536</c:v>
                </c:pt>
                <c:pt idx="7">
                  <c:v>283264</c:v>
                </c:pt>
                <c:pt idx="8">
                  <c:v>298666</c:v>
                </c:pt>
                <c:pt idx="9">
                  <c:v>315003</c:v>
                </c:pt>
                <c:pt idx="10">
                  <c:v>328046</c:v>
                </c:pt>
                <c:pt idx="11">
                  <c:v>345268</c:v>
                </c:pt>
                <c:pt idx="12">
                  <c:v>358044</c:v>
                </c:pt>
                <c:pt idx="13">
                  <c:v>360090</c:v>
                </c:pt>
                <c:pt idx="14">
                  <c:v>374400</c:v>
                </c:pt>
                <c:pt idx="15">
                  <c:v>370438</c:v>
                </c:pt>
                <c:pt idx="16">
                  <c:v>378995</c:v>
                </c:pt>
                <c:pt idx="17">
                  <c:v>375991</c:v>
                </c:pt>
                <c:pt idx="18">
                  <c:v>385064</c:v>
                </c:pt>
                <c:pt idx="19">
                  <c:v>414733</c:v>
                </c:pt>
              </c:numCache>
            </c:numRef>
          </c:val>
          <c:extLst>
            <c:ext xmlns:c16="http://schemas.microsoft.com/office/drawing/2014/chart" uri="{C3380CC4-5D6E-409C-BE32-E72D297353CC}">
              <c16:uniqueId val="{00000000-7B80-4F63-8DE8-6E0612C2EBA8}"/>
            </c:ext>
          </c:extLst>
        </c:ser>
        <c:dLbls>
          <c:showLegendKey val="0"/>
          <c:showVal val="0"/>
          <c:showCatName val="0"/>
          <c:showSerName val="0"/>
          <c:showPercent val="0"/>
          <c:showBubbleSize val="0"/>
        </c:dLbls>
        <c:gapWidth val="219"/>
        <c:overlap val="-27"/>
        <c:axId val="1778457968"/>
        <c:axId val="1778464624"/>
      </c:barChart>
      <c:lineChart>
        <c:grouping val="standard"/>
        <c:varyColors val="0"/>
        <c:ser>
          <c:idx val="1"/>
          <c:order val="1"/>
          <c:tx>
            <c:strRef>
              <c:f>Charts!$AA$23</c:f>
              <c:strCache>
                <c:ptCount val="1"/>
                <c:pt idx="0">
                  <c:v>Group Total Revenue Growth YoY</c:v>
                </c:pt>
              </c:strCache>
            </c:strRef>
          </c:tx>
          <c:spPr>
            <a:ln w="28575" cap="rnd">
              <a:solidFill>
                <a:schemeClr val="accent2"/>
              </a:solidFill>
              <a:round/>
            </a:ln>
            <a:effectLst/>
          </c:spPr>
          <c:marker>
            <c:symbol val="none"/>
          </c:marker>
          <c:cat>
            <c:strRef>
              <c:f>Charts!$AB$21:$AU$21</c:f>
              <c:strCache>
                <c:ptCount val="20"/>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pt idx="14">
                  <c:v>1Q24</c:v>
                </c:pt>
                <c:pt idx="15">
                  <c:v>2Q24</c:v>
                </c:pt>
                <c:pt idx="16">
                  <c:v>3Q24</c:v>
                </c:pt>
                <c:pt idx="17">
                  <c:v>4Q24</c:v>
                </c:pt>
                <c:pt idx="18">
                  <c:v>1Q25</c:v>
                </c:pt>
                <c:pt idx="19">
                  <c:v>2Q25</c:v>
                </c:pt>
              </c:strCache>
            </c:strRef>
          </c:cat>
          <c:val>
            <c:numRef>
              <c:f>Charts!$AB$23:$AU$23</c:f>
              <c:numCache>
                <c:formatCode>0%</c:formatCode>
                <c:ptCount val="20"/>
                <c:pt idx="0">
                  <c:v>9.9514252214438326E-2</c:v>
                </c:pt>
                <c:pt idx="1">
                  <c:v>0.15402676116339409</c:v>
                </c:pt>
                <c:pt idx="2">
                  <c:v>0.12668630217664179</c:v>
                </c:pt>
                <c:pt idx="3">
                  <c:v>0.17159885361697369</c:v>
                </c:pt>
                <c:pt idx="4">
                  <c:v>0.19035244146138197</c:v>
                </c:pt>
                <c:pt idx="5">
                  <c:v>8.3592927407345252E-2</c:v>
                </c:pt>
                <c:pt idx="6">
                  <c:v>0.14206417740634203</c:v>
                </c:pt>
                <c:pt idx="7">
                  <c:v>0.13001844695134879</c:v>
                </c:pt>
                <c:pt idx="8">
                  <c:v>0.1316181729212933</c:v>
                </c:pt>
                <c:pt idx="9">
                  <c:v>0.22018579835338858</c:v>
                </c:pt>
                <c:pt idx="10">
                  <c:v>0.21924074580429664</c:v>
                </c:pt>
                <c:pt idx="11">
                  <c:v>0.2213277909070448</c:v>
                </c:pt>
                <c:pt idx="12">
                  <c:v>0.19951968653226326</c:v>
                </c:pt>
                <c:pt idx="13">
                  <c:v>0.15149640374505458</c:v>
                </c:pt>
                <c:pt idx="14">
                  <c:v>0.14521105076855934</c:v>
                </c:pt>
                <c:pt idx="15">
                  <c:v>7.6176188570260317E-2</c:v>
                </c:pt>
                <c:pt idx="16">
                  <c:v>6.3149575730686136E-2</c:v>
                </c:pt>
                <c:pt idx="17">
                  <c:v>4.4693460884611458E-2</c:v>
                </c:pt>
                <c:pt idx="18">
                  <c:v>2.8622615994897904E-2</c:v>
                </c:pt>
                <c:pt idx="19">
                  <c:v>0.11649212558395905</c:v>
                </c:pt>
              </c:numCache>
            </c:numRef>
          </c:val>
          <c:smooth val="0"/>
          <c:extLst>
            <c:ext xmlns:c16="http://schemas.microsoft.com/office/drawing/2014/chart" uri="{C3380CC4-5D6E-409C-BE32-E72D297353CC}">
              <c16:uniqueId val="{00000001-7B80-4F63-8DE8-6E0612C2EBA8}"/>
            </c:ext>
          </c:extLst>
        </c:ser>
        <c:dLbls>
          <c:showLegendKey val="0"/>
          <c:showVal val="0"/>
          <c:showCatName val="0"/>
          <c:showSerName val="0"/>
          <c:showPercent val="0"/>
          <c:showBubbleSize val="0"/>
        </c:dLbls>
        <c:marker val="1"/>
        <c:smooth val="0"/>
        <c:axId val="1778457136"/>
        <c:axId val="1778463792"/>
      </c:lineChart>
      <c:catAx>
        <c:axId val="1778457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64624"/>
        <c:crosses val="autoZero"/>
        <c:auto val="1"/>
        <c:lblAlgn val="ctr"/>
        <c:lblOffset val="100"/>
        <c:noMultiLvlLbl val="0"/>
      </c:catAx>
      <c:valAx>
        <c:axId val="1778464624"/>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57968"/>
        <c:crosses val="autoZero"/>
        <c:crossBetween val="between"/>
      </c:valAx>
      <c:valAx>
        <c:axId val="1778463792"/>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57136"/>
        <c:crosses val="max"/>
        <c:crossBetween val="between"/>
      </c:valAx>
      <c:catAx>
        <c:axId val="1778457136"/>
        <c:scaling>
          <c:orientation val="minMax"/>
        </c:scaling>
        <c:delete val="1"/>
        <c:axPos val="b"/>
        <c:numFmt formatCode="General" sourceLinked="1"/>
        <c:majorTickMark val="out"/>
        <c:minorTickMark val="none"/>
        <c:tickLblPos val="nextTo"/>
        <c:crossAx val="1778463792"/>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13" Type="http://schemas.openxmlformats.org/officeDocument/2006/relationships/chart" Target="../charts/chart21.xml"/><Relationship Id="rId18" Type="http://schemas.openxmlformats.org/officeDocument/2006/relationships/chart" Target="../charts/chart26.xml"/><Relationship Id="rId26" Type="http://schemas.openxmlformats.org/officeDocument/2006/relationships/chart" Target="../charts/chart34.xml"/><Relationship Id="rId39" Type="http://schemas.openxmlformats.org/officeDocument/2006/relationships/chart" Target="../charts/chart47.xml"/><Relationship Id="rId21" Type="http://schemas.openxmlformats.org/officeDocument/2006/relationships/chart" Target="../charts/chart29.xml"/><Relationship Id="rId34" Type="http://schemas.openxmlformats.org/officeDocument/2006/relationships/chart" Target="../charts/chart42.xml"/><Relationship Id="rId42" Type="http://schemas.openxmlformats.org/officeDocument/2006/relationships/chart" Target="../charts/chart50.xml"/><Relationship Id="rId7" Type="http://schemas.openxmlformats.org/officeDocument/2006/relationships/chart" Target="../charts/chart15.xml"/><Relationship Id="rId2" Type="http://schemas.openxmlformats.org/officeDocument/2006/relationships/chart" Target="../charts/chart10.xml"/><Relationship Id="rId16" Type="http://schemas.openxmlformats.org/officeDocument/2006/relationships/chart" Target="../charts/chart24.xml"/><Relationship Id="rId29" Type="http://schemas.openxmlformats.org/officeDocument/2006/relationships/chart" Target="../charts/chart37.xml"/><Relationship Id="rId1" Type="http://schemas.openxmlformats.org/officeDocument/2006/relationships/chart" Target="../charts/chart9.xml"/><Relationship Id="rId6" Type="http://schemas.openxmlformats.org/officeDocument/2006/relationships/chart" Target="../charts/chart14.xml"/><Relationship Id="rId11" Type="http://schemas.openxmlformats.org/officeDocument/2006/relationships/chart" Target="../charts/chart19.xml"/><Relationship Id="rId24" Type="http://schemas.openxmlformats.org/officeDocument/2006/relationships/chart" Target="../charts/chart32.xml"/><Relationship Id="rId32" Type="http://schemas.openxmlformats.org/officeDocument/2006/relationships/chart" Target="../charts/chart40.xml"/><Relationship Id="rId37" Type="http://schemas.openxmlformats.org/officeDocument/2006/relationships/chart" Target="../charts/chart45.xml"/><Relationship Id="rId40" Type="http://schemas.openxmlformats.org/officeDocument/2006/relationships/chart" Target="../charts/chart48.xml"/><Relationship Id="rId45" Type="http://schemas.openxmlformats.org/officeDocument/2006/relationships/chart" Target="../charts/chart53.xml"/><Relationship Id="rId5" Type="http://schemas.openxmlformats.org/officeDocument/2006/relationships/chart" Target="../charts/chart13.xml"/><Relationship Id="rId15" Type="http://schemas.openxmlformats.org/officeDocument/2006/relationships/chart" Target="../charts/chart23.xml"/><Relationship Id="rId23" Type="http://schemas.openxmlformats.org/officeDocument/2006/relationships/chart" Target="../charts/chart31.xml"/><Relationship Id="rId28" Type="http://schemas.openxmlformats.org/officeDocument/2006/relationships/chart" Target="../charts/chart36.xml"/><Relationship Id="rId36" Type="http://schemas.openxmlformats.org/officeDocument/2006/relationships/chart" Target="../charts/chart44.xml"/><Relationship Id="rId10" Type="http://schemas.openxmlformats.org/officeDocument/2006/relationships/chart" Target="../charts/chart18.xml"/><Relationship Id="rId19" Type="http://schemas.openxmlformats.org/officeDocument/2006/relationships/chart" Target="../charts/chart27.xml"/><Relationship Id="rId31" Type="http://schemas.openxmlformats.org/officeDocument/2006/relationships/chart" Target="../charts/chart39.xml"/><Relationship Id="rId44" Type="http://schemas.openxmlformats.org/officeDocument/2006/relationships/chart" Target="../charts/chart52.xml"/><Relationship Id="rId4" Type="http://schemas.openxmlformats.org/officeDocument/2006/relationships/chart" Target="../charts/chart12.xml"/><Relationship Id="rId9" Type="http://schemas.openxmlformats.org/officeDocument/2006/relationships/chart" Target="../charts/chart17.xml"/><Relationship Id="rId14" Type="http://schemas.openxmlformats.org/officeDocument/2006/relationships/chart" Target="../charts/chart22.xml"/><Relationship Id="rId22" Type="http://schemas.openxmlformats.org/officeDocument/2006/relationships/chart" Target="../charts/chart30.xml"/><Relationship Id="rId27" Type="http://schemas.openxmlformats.org/officeDocument/2006/relationships/chart" Target="../charts/chart35.xml"/><Relationship Id="rId30" Type="http://schemas.openxmlformats.org/officeDocument/2006/relationships/chart" Target="../charts/chart38.xml"/><Relationship Id="rId35" Type="http://schemas.openxmlformats.org/officeDocument/2006/relationships/chart" Target="../charts/chart43.xml"/><Relationship Id="rId43" Type="http://schemas.openxmlformats.org/officeDocument/2006/relationships/chart" Target="../charts/chart51.xml"/><Relationship Id="rId8" Type="http://schemas.openxmlformats.org/officeDocument/2006/relationships/chart" Target="../charts/chart16.xml"/><Relationship Id="rId3" Type="http://schemas.openxmlformats.org/officeDocument/2006/relationships/chart" Target="../charts/chart11.xml"/><Relationship Id="rId12" Type="http://schemas.openxmlformats.org/officeDocument/2006/relationships/chart" Target="../charts/chart20.xml"/><Relationship Id="rId17" Type="http://schemas.openxmlformats.org/officeDocument/2006/relationships/chart" Target="../charts/chart25.xml"/><Relationship Id="rId25" Type="http://schemas.openxmlformats.org/officeDocument/2006/relationships/chart" Target="../charts/chart33.xml"/><Relationship Id="rId33" Type="http://schemas.openxmlformats.org/officeDocument/2006/relationships/chart" Target="../charts/chart41.xml"/><Relationship Id="rId38" Type="http://schemas.openxmlformats.org/officeDocument/2006/relationships/chart" Target="../charts/chart46.xml"/><Relationship Id="rId20" Type="http://schemas.openxmlformats.org/officeDocument/2006/relationships/chart" Target="../charts/chart28.xml"/><Relationship Id="rId41" Type="http://schemas.openxmlformats.org/officeDocument/2006/relationships/chart" Target="../charts/chart49.xml"/></Relationships>
</file>

<file path=xl/drawings/drawing1.xml><?xml version="1.0" encoding="utf-8"?>
<xdr:wsDr xmlns:xdr="http://schemas.openxmlformats.org/drawingml/2006/spreadsheetDrawing" xmlns:a="http://schemas.openxmlformats.org/drawingml/2006/main">
  <xdr:twoCellAnchor>
    <xdr:from>
      <xdr:col>5</xdr:col>
      <xdr:colOff>45471</xdr:colOff>
      <xdr:row>6</xdr:row>
      <xdr:rowOff>145029</xdr:rowOff>
    </xdr:from>
    <xdr:to>
      <xdr:col>16</xdr:col>
      <xdr:colOff>122465</xdr:colOff>
      <xdr:row>24</xdr:row>
      <xdr:rowOff>13607</xdr:rowOff>
    </xdr:to>
    <xdr:graphicFrame macro="">
      <xdr:nvGraphicFramePr>
        <xdr:cNvPr id="3" name="Chart 2">
          <a:extLst>
            <a:ext uri="{FF2B5EF4-FFF2-40B4-BE49-F238E27FC236}">
              <a16:creationId xmlns:a16="http://schemas.microsoft.com/office/drawing/2014/main" id="{115C613D-A2E9-49D6-B132-F4B6F5C9FA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56</xdr:col>
      <xdr:colOff>281215</xdr:colOff>
      <xdr:row>154</xdr:row>
      <xdr:rowOff>0</xdr:rowOff>
    </xdr:from>
    <xdr:to>
      <xdr:col>56</xdr:col>
      <xdr:colOff>3320143</xdr:colOff>
      <xdr:row>159</xdr:row>
      <xdr:rowOff>0</xdr:rowOff>
    </xdr:to>
    <xdr:sp macro="" textlink="">
      <xdr:nvSpPr>
        <xdr:cNvPr id="2" name="TextBox 1">
          <a:extLst>
            <a:ext uri="{FF2B5EF4-FFF2-40B4-BE49-F238E27FC236}">
              <a16:creationId xmlns:a16="http://schemas.microsoft.com/office/drawing/2014/main" id="{A5087C38-B4AE-091E-962C-43F3D20E4DA6}"/>
            </a:ext>
          </a:extLst>
        </xdr:cNvPr>
        <xdr:cNvSpPr txBox="1"/>
      </xdr:nvSpPr>
      <xdr:spPr>
        <a:xfrm>
          <a:off x="54791429" y="30289500"/>
          <a:ext cx="3038928" cy="997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SG" sz="1100"/>
            <a:t>To add cash lease repayments in our bharti cash flows to minimise the P/L and cash interest gap.</a:t>
          </a:r>
        </a:p>
        <a:p>
          <a:endParaRPr lang="en-SG" sz="1100"/>
        </a:p>
        <a:p>
          <a:r>
            <a:rPr lang="en-SG" sz="1100"/>
            <a:t>Remaining gap largely due to derivatives and fx changes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56</xdr:col>
      <xdr:colOff>4107533</xdr:colOff>
      <xdr:row>61</xdr:row>
      <xdr:rowOff>128088</xdr:rowOff>
    </xdr:from>
    <xdr:to>
      <xdr:col>90</xdr:col>
      <xdr:colOff>22239</xdr:colOff>
      <xdr:row>75</xdr:row>
      <xdr:rowOff>8499</xdr:rowOff>
    </xdr:to>
    <xdr:graphicFrame macro="">
      <xdr:nvGraphicFramePr>
        <xdr:cNvPr id="2" name="Chart 1">
          <a:extLst>
            <a:ext uri="{FF2B5EF4-FFF2-40B4-BE49-F238E27FC236}">
              <a16:creationId xmlns:a16="http://schemas.microsoft.com/office/drawing/2014/main" id="{58282792-57F1-EB65-933C-A47C8E2B77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33</xdr:col>
      <xdr:colOff>799115</xdr:colOff>
      <xdr:row>110</xdr:row>
      <xdr:rowOff>106206</xdr:rowOff>
    </xdr:from>
    <xdr:to>
      <xdr:col>38</xdr:col>
      <xdr:colOff>58615</xdr:colOff>
      <xdr:row>124</xdr:row>
      <xdr:rowOff>194310</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529706</xdr:colOff>
      <xdr:row>110</xdr:row>
      <xdr:rowOff>57723</xdr:rowOff>
    </xdr:from>
    <xdr:to>
      <xdr:col>31</xdr:col>
      <xdr:colOff>925956</xdr:colOff>
      <xdr:row>125</xdr:row>
      <xdr:rowOff>196068</xdr:rowOff>
    </xdr:to>
    <xdr:graphicFrame macro="">
      <xdr:nvGraphicFramePr>
        <xdr:cNvPr id="3" name="Chart 2">
          <a:extLst>
            <a:ext uri="{FF2B5EF4-FFF2-40B4-BE49-F238E27FC236}">
              <a16:creationId xmlns:a16="http://schemas.microsoft.com/office/drawing/2014/main" id="{0386C1EF-01BF-4A17-AA06-04821C4FAB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59</xdr:col>
      <xdr:colOff>357806</xdr:colOff>
      <xdr:row>10</xdr:row>
      <xdr:rowOff>65952</xdr:rowOff>
    </xdr:from>
    <xdr:to>
      <xdr:col>66</xdr:col>
      <xdr:colOff>384673</xdr:colOff>
      <xdr:row>24</xdr:row>
      <xdr:rowOff>95748</xdr:rowOff>
    </xdr:to>
    <xdr:graphicFrame macro="">
      <xdr:nvGraphicFramePr>
        <xdr:cNvPr id="4" name="Chart 3">
          <a:extLst>
            <a:ext uri="{FF2B5EF4-FFF2-40B4-BE49-F238E27FC236}">
              <a16:creationId xmlns:a16="http://schemas.microsoft.com/office/drawing/2014/main" id="{45591C18-50D2-4F48-9482-6D3CCE7E9D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56</xdr:col>
      <xdr:colOff>1738919</xdr:colOff>
      <xdr:row>119</xdr:row>
      <xdr:rowOff>74245</xdr:rowOff>
    </xdr:from>
    <xdr:to>
      <xdr:col>63</xdr:col>
      <xdr:colOff>317500</xdr:colOff>
      <xdr:row>134</xdr:row>
      <xdr:rowOff>175945</xdr:rowOff>
    </xdr:to>
    <xdr:graphicFrame macro="">
      <xdr:nvGraphicFramePr>
        <xdr:cNvPr id="5" name="Chart 4">
          <a:extLst>
            <a:ext uri="{FF2B5EF4-FFF2-40B4-BE49-F238E27FC236}">
              <a16:creationId xmlns:a16="http://schemas.microsoft.com/office/drawing/2014/main" id="{58FBBACA-152E-42D5-8F06-9D07630213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60</xdr:col>
      <xdr:colOff>243531</xdr:colOff>
      <xdr:row>66</xdr:row>
      <xdr:rowOff>52788</xdr:rowOff>
    </xdr:from>
    <xdr:to>
      <xdr:col>69</xdr:col>
      <xdr:colOff>35438</xdr:colOff>
      <xdr:row>81</xdr:row>
      <xdr:rowOff>81219</xdr:rowOff>
    </xdr:to>
    <xdr:graphicFrame macro="">
      <xdr:nvGraphicFramePr>
        <xdr:cNvPr id="2" name="Chart 1">
          <a:extLst>
            <a:ext uri="{FF2B5EF4-FFF2-40B4-BE49-F238E27FC236}">
              <a16:creationId xmlns:a16="http://schemas.microsoft.com/office/drawing/2014/main" id="{7F03D5C2-DF0D-4DFB-97AE-816D5B22AF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56</xdr:col>
      <xdr:colOff>1594757</xdr:colOff>
      <xdr:row>46</xdr:row>
      <xdr:rowOff>114300</xdr:rowOff>
    </xdr:from>
    <xdr:to>
      <xdr:col>57</xdr:col>
      <xdr:colOff>288471</xdr:colOff>
      <xdr:row>61</xdr:row>
      <xdr:rowOff>81643</xdr:rowOff>
    </xdr:to>
    <xdr:graphicFrame macro="">
      <xdr:nvGraphicFramePr>
        <xdr:cNvPr id="2" name="Chart 1">
          <a:extLst>
            <a:ext uri="{FF2B5EF4-FFF2-40B4-BE49-F238E27FC236}">
              <a16:creationId xmlns:a16="http://schemas.microsoft.com/office/drawing/2014/main" id="{1B9A5387-0DCC-73A6-E6EF-CDFA582F81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812799</xdr:colOff>
      <xdr:row>17</xdr:row>
      <xdr:rowOff>169182</xdr:rowOff>
    </xdr:from>
    <xdr:to>
      <xdr:col>7</xdr:col>
      <xdr:colOff>244928</xdr:colOff>
      <xdr:row>34</xdr:row>
      <xdr:rowOff>54429</xdr:rowOff>
    </xdr:to>
    <xdr:graphicFrame macro="">
      <xdr:nvGraphicFramePr>
        <xdr:cNvPr id="2" name="Chart 1">
          <a:extLst>
            <a:ext uri="{FF2B5EF4-FFF2-40B4-BE49-F238E27FC236}">
              <a16:creationId xmlns:a16="http://schemas.microsoft.com/office/drawing/2014/main" id="{9CE54C27-161B-4B3C-8A16-A201DAC021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439056</xdr:colOff>
      <xdr:row>18</xdr:row>
      <xdr:rowOff>40366</xdr:rowOff>
    </xdr:from>
    <xdr:to>
      <xdr:col>18</xdr:col>
      <xdr:colOff>27214</xdr:colOff>
      <xdr:row>34</xdr:row>
      <xdr:rowOff>27214</xdr:rowOff>
    </xdr:to>
    <xdr:graphicFrame macro="">
      <xdr:nvGraphicFramePr>
        <xdr:cNvPr id="3" name="Chart 2">
          <a:extLst>
            <a:ext uri="{FF2B5EF4-FFF2-40B4-BE49-F238E27FC236}">
              <a16:creationId xmlns:a16="http://schemas.microsoft.com/office/drawing/2014/main" id="{652EFB7D-7D9B-4618-8667-583C7D4066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564695</xdr:colOff>
      <xdr:row>38</xdr:row>
      <xdr:rowOff>181883</xdr:rowOff>
    </xdr:from>
    <xdr:to>
      <xdr:col>7</xdr:col>
      <xdr:colOff>353785</xdr:colOff>
      <xdr:row>55</xdr:row>
      <xdr:rowOff>95250</xdr:rowOff>
    </xdr:to>
    <xdr:graphicFrame macro="">
      <xdr:nvGraphicFramePr>
        <xdr:cNvPr id="4" name="Chart 3">
          <a:extLst>
            <a:ext uri="{FF2B5EF4-FFF2-40B4-BE49-F238E27FC236}">
              <a16:creationId xmlns:a16="http://schemas.microsoft.com/office/drawing/2014/main" id="{9D0B6820-2484-4A41-9826-478F1BA196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237218</xdr:colOff>
      <xdr:row>38</xdr:row>
      <xdr:rowOff>152400</xdr:rowOff>
    </xdr:from>
    <xdr:to>
      <xdr:col>19</xdr:col>
      <xdr:colOff>355600</xdr:colOff>
      <xdr:row>55</xdr:row>
      <xdr:rowOff>152399</xdr:rowOff>
    </xdr:to>
    <xdr:graphicFrame macro="">
      <xdr:nvGraphicFramePr>
        <xdr:cNvPr id="5" name="Chart 4">
          <a:extLst>
            <a:ext uri="{FF2B5EF4-FFF2-40B4-BE49-F238E27FC236}">
              <a16:creationId xmlns:a16="http://schemas.microsoft.com/office/drawing/2014/main" id="{9D18F8F5-8E84-4A21-9565-3245C8AA83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278494</xdr:colOff>
      <xdr:row>58</xdr:row>
      <xdr:rowOff>173263</xdr:rowOff>
    </xdr:from>
    <xdr:to>
      <xdr:col>8</xdr:col>
      <xdr:colOff>503465</xdr:colOff>
      <xdr:row>75</xdr:row>
      <xdr:rowOff>27215</xdr:rowOff>
    </xdr:to>
    <xdr:graphicFrame macro="">
      <xdr:nvGraphicFramePr>
        <xdr:cNvPr id="6" name="Chart 5">
          <a:extLst>
            <a:ext uri="{FF2B5EF4-FFF2-40B4-BE49-F238E27FC236}">
              <a16:creationId xmlns:a16="http://schemas.microsoft.com/office/drawing/2014/main" id="{FAFD8D55-6C00-42A6-8845-2707B6FBD5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146048</xdr:colOff>
      <xdr:row>59</xdr:row>
      <xdr:rowOff>9070</xdr:rowOff>
    </xdr:from>
    <xdr:to>
      <xdr:col>18</xdr:col>
      <xdr:colOff>435427</xdr:colOff>
      <xdr:row>73</xdr:row>
      <xdr:rowOff>163285</xdr:rowOff>
    </xdr:to>
    <xdr:graphicFrame macro="">
      <xdr:nvGraphicFramePr>
        <xdr:cNvPr id="7" name="Chart 6">
          <a:extLst>
            <a:ext uri="{FF2B5EF4-FFF2-40B4-BE49-F238E27FC236}">
              <a16:creationId xmlns:a16="http://schemas.microsoft.com/office/drawing/2014/main" id="{88C05C9F-AB7F-491B-81C7-2AB748A965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84363</xdr:colOff>
      <xdr:row>79</xdr:row>
      <xdr:rowOff>73933</xdr:rowOff>
    </xdr:from>
    <xdr:to>
      <xdr:col>8</xdr:col>
      <xdr:colOff>585108</xdr:colOff>
      <xdr:row>96</xdr:row>
      <xdr:rowOff>40822</xdr:rowOff>
    </xdr:to>
    <xdr:graphicFrame macro="">
      <xdr:nvGraphicFramePr>
        <xdr:cNvPr id="8" name="Chart 7">
          <a:extLst>
            <a:ext uri="{FF2B5EF4-FFF2-40B4-BE49-F238E27FC236}">
              <a16:creationId xmlns:a16="http://schemas.microsoft.com/office/drawing/2014/main" id="{E985A0C7-5B26-4AB5-BB99-82E49A1728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278946</xdr:colOff>
      <xdr:row>79</xdr:row>
      <xdr:rowOff>60323</xdr:rowOff>
    </xdr:from>
    <xdr:to>
      <xdr:col>18</xdr:col>
      <xdr:colOff>625928</xdr:colOff>
      <xdr:row>95</xdr:row>
      <xdr:rowOff>108856</xdr:rowOff>
    </xdr:to>
    <xdr:graphicFrame macro="">
      <xdr:nvGraphicFramePr>
        <xdr:cNvPr id="9" name="Chart 8">
          <a:extLst>
            <a:ext uri="{FF2B5EF4-FFF2-40B4-BE49-F238E27FC236}">
              <a16:creationId xmlns:a16="http://schemas.microsoft.com/office/drawing/2014/main" id="{8462A67D-26DD-427B-B6DE-1F9F220EF3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410934</xdr:colOff>
      <xdr:row>101</xdr:row>
      <xdr:rowOff>158750</xdr:rowOff>
    </xdr:from>
    <xdr:to>
      <xdr:col>8</xdr:col>
      <xdr:colOff>27214</xdr:colOff>
      <xdr:row>116</xdr:row>
      <xdr:rowOff>13607</xdr:rowOff>
    </xdr:to>
    <xdr:graphicFrame macro="">
      <xdr:nvGraphicFramePr>
        <xdr:cNvPr id="10" name="Chart 9">
          <a:extLst>
            <a:ext uri="{FF2B5EF4-FFF2-40B4-BE49-F238E27FC236}">
              <a16:creationId xmlns:a16="http://schemas.microsoft.com/office/drawing/2014/main" id="{64DA80CB-6DDA-4C10-B140-9892061833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360588</xdr:colOff>
      <xdr:row>101</xdr:row>
      <xdr:rowOff>182789</xdr:rowOff>
    </xdr:from>
    <xdr:to>
      <xdr:col>18</xdr:col>
      <xdr:colOff>598713</xdr:colOff>
      <xdr:row>116</xdr:row>
      <xdr:rowOff>176893</xdr:rowOff>
    </xdr:to>
    <xdr:graphicFrame macro="">
      <xdr:nvGraphicFramePr>
        <xdr:cNvPr id="11" name="Chart 10">
          <a:extLst>
            <a:ext uri="{FF2B5EF4-FFF2-40B4-BE49-F238E27FC236}">
              <a16:creationId xmlns:a16="http://schemas.microsoft.com/office/drawing/2014/main" id="{CF98B059-59BC-4161-9C96-8D032CDF14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503011</xdr:colOff>
      <xdr:row>121</xdr:row>
      <xdr:rowOff>67582</xdr:rowOff>
    </xdr:from>
    <xdr:to>
      <xdr:col>8</xdr:col>
      <xdr:colOff>190500</xdr:colOff>
      <xdr:row>137</xdr:row>
      <xdr:rowOff>40822</xdr:rowOff>
    </xdr:to>
    <xdr:graphicFrame macro="">
      <xdr:nvGraphicFramePr>
        <xdr:cNvPr id="12" name="Chart 11">
          <a:extLst>
            <a:ext uri="{FF2B5EF4-FFF2-40B4-BE49-F238E27FC236}">
              <a16:creationId xmlns:a16="http://schemas.microsoft.com/office/drawing/2014/main" id="{11B896B6-BDFD-4D4F-8D6E-644D48F36BF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336549</xdr:colOff>
      <xdr:row>121</xdr:row>
      <xdr:rowOff>87537</xdr:rowOff>
    </xdr:from>
    <xdr:to>
      <xdr:col>18</xdr:col>
      <xdr:colOff>421821</xdr:colOff>
      <xdr:row>136</xdr:row>
      <xdr:rowOff>163285</xdr:rowOff>
    </xdr:to>
    <xdr:graphicFrame macro="">
      <xdr:nvGraphicFramePr>
        <xdr:cNvPr id="13" name="Chart 12">
          <a:extLst>
            <a:ext uri="{FF2B5EF4-FFF2-40B4-BE49-F238E27FC236}">
              <a16:creationId xmlns:a16="http://schemas.microsoft.com/office/drawing/2014/main" id="{210C5C4B-9696-489B-8506-931F5BC955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543831</xdr:colOff>
      <xdr:row>141</xdr:row>
      <xdr:rowOff>9070</xdr:rowOff>
    </xdr:from>
    <xdr:to>
      <xdr:col>8</xdr:col>
      <xdr:colOff>163285</xdr:colOff>
      <xdr:row>156</xdr:row>
      <xdr:rowOff>13607</xdr:rowOff>
    </xdr:to>
    <xdr:graphicFrame macro="">
      <xdr:nvGraphicFramePr>
        <xdr:cNvPr id="14" name="Chart 13">
          <a:extLst>
            <a:ext uri="{FF2B5EF4-FFF2-40B4-BE49-F238E27FC236}">
              <a16:creationId xmlns:a16="http://schemas.microsoft.com/office/drawing/2014/main" id="{5E774458-4A5D-4702-9784-9F0D7066795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221340</xdr:colOff>
      <xdr:row>140</xdr:row>
      <xdr:rowOff>179613</xdr:rowOff>
    </xdr:from>
    <xdr:to>
      <xdr:col>18</xdr:col>
      <xdr:colOff>462641</xdr:colOff>
      <xdr:row>156</xdr:row>
      <xdr:rowOff>13606</xdr:rowOff>
    </xdr:to>
    <xdr:graphicFrame macro="">
      <xdr:nvGraphicFramePr>
        <xdr:cNvPr id="15" name="Chart 14">
          <a:extLst>
            <a:ext uri="{FF2B5EF4-FFF2-40B4-BE49-F238E27FC236}">
              <a16:creationId xmlns:a16="http://schemas.microsoft.com/office/drawing/2014/main" id="{B83FF7EE-60EF-454D-B1F8-338420D15E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496660</xdr:colOff>
      <xdr:row>160</xdr:row>
      <xdr:rowOff>149224</xdr:rowOff>
    </xdr:from>
    <xdr:to>
      <xdr:col>8</xdr:col>
      <xdr:colOff>530679</xdr:colOff>
      <xdr:row>177</xdr:row>
      <xdr:rowOff>27213</xdr:rowOff>
    </xdr:to>
    <xdr:graphicFrame macro="">
      <xdr:nvGraphicFramePr>
        <xdr:cNvPr id="16" name="Chart 15">
          <a:extLst>
            <a:ext uri="{FF2B5EF4-FFF2-40B4-BE49-F238E27FC236}">
              <a16:creationId xmlns:a16="http://schemas.microsoft.com/office/drawing/2014/main" id="{818352A1-ADD3-4EC4-8CF0-0AE291C3C2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363763</xdr:colOff>
      <xdr:row>160</xdr:row>
      <xdr:rowOff>182788</xdr:rowOff>
    </xdr:from>
    <xdr:to>
      <xdr:col>18</xdr:col>
      <xdr:colOff>408215</xdr:colOff>
      <xdr:row>177</xdr:row>
      <xdr:rowOff>27214</xdr:rowOff>
    </xdr:to>
    <xdr:graphicFrame macro="">
      <xdr:nvGraphicFramePr>
        <xdr:cNvPr id="18" name="Chart 17">
          <a:extLst>
            <a:ext uri="{FF2B5EF4-FFF2-40B4-BE49-F238E27FC236}">
              <a16:creationId xmlns:a16="http://schemas.microsoft.com/office/drawing/2014/main" id="{33A8349E-6E52-4EBA-B351-C1E9D883B0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581478</xdr:colOff>
      <xdr:row>180</xdr:row>
      <xdr:rowOff>111579</xdr:rowOff>
    </xdr:from>
    <xdr:to>
      <xdr:col>8</xdr:col>
      <xdr:colOff>435429</xdr:colOff>
      <xdr:row>196</xdr:row>
      <xdr:rowOff>149678</xdr:rowOff>
    </xdr:to>
    <xdr:graphicFrame macro="">
      <xdr:nvGraphicFramePr>
        <xdr:cNvPr id="19" name="Chart 18">
          <a:extLst>
            <a:ext uri="{FF2B5EF4-FFF2-40B4-BE49-F238E27FC236}">
              <a16:creationId xmlns:a16="http://schemas.microsoft.com/office/drawing/2014/main" id="{3C3E88C7-314F-45A5-9769-CE7B7FE762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221340</xdr:colOff>
      <xdr:row>180</xdr:row>
      <xdr:rowOff>159657</xdr:rowOff>
    </xdr:from>
    <xdr:to>
      <xdr:col>18</xdr:col>
      <xdr:colOff>367391</xdr:colOff>
      <xdr:row>196</xdr:row>
      <xdr:rowOff>0</xdr:rowOff>
    </xdr:to>
    <xdr:graphicFrame macro="">
      <xdr:nvGraphicFramePr>
        <xdr:cNvPr id="26" name="Chart 25">
          <a:extLst>
            <a:ext uri="{FF2B5EF4-FFF2-40B4-BE49-F238E27FC236}">
              <a16:creationId xmlns:a16="http://schemas.microsoft.com/office/drawing/2014/main" id="{78FA864F-C9BD-4B5A-ADB3-9697E95B37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xdr:col>
      <xdr:colOff>571046</xdr:colOff>
      <xdr:row>199</xdr:row>
      <xdr:rowOff>122011</xdr:rowOff>
    </xdr:from>
    <xdr:to>
      <xdr:col>7</xdr:col>
      <xdr:colOff>585107</xdr:colOff>
      <xdr:row>215</xdr:row>
      <xdr:rowOff>108857</xdr:rowOff>
    </xdr:to>
    <xdr:graphicFrame macro="">
      <xdr:nvGraphicFramePr>
        <xdr:cNvPr id="27" name="Chart 26">
          <a:extLst>
            <a:ext uri="{FF2B5EF4-FFF2-40B4-BE49-F238E27FC236}">
              <a16:creationId xmlns:a16="http://schemas.microsoft.com/office/drawing/2014/main" id="{25197D9C-1958-40CF-9AF5-A1627C1CD7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126090</xdr:colOff>
      <xdr:row>199</xdr:row>
      <xdr:rowOff>114753</xdr:rowOff>
    </xdr:from>
    <xdr:to>
      <xdr:col>18</xdr:col>
      <xdr:colOff>312963</xdr:colOff>
      <xdr:row>215</xdr:row>
      <xdr:rowOff>176893</xdr:rowOff>
    </xdr:to>
    <xdr:graphicFrame macro="">
      <xdr:nvGraphicFramePr>
        <xdr:cNvPr id="28" name="Chart 27">
          <a:extLst>
            <a:ext uri="{FF2B5EF4-FFF2-40B4-BE49-F238E27FC236}">
              <a16:creationId xmlns:a16="http://schemas.microsoft.com/office/drawing/2014/main" id="{D24A3343-A972-499B-BF7B-A441E17069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xdr:col>
      <xdr:colOff>241299</xdr:colOff>
      <xdr:row>222</xdr:row>
      <xdr:rowOff>111579</xdr:rowOff>
    </xdr:from>
    <xdr:to>
      <xdr:col>8</xdr:col>
      <xdr:colOff>312965</xdr:colOff>
      <xdr:row>238</xdr:row>
      <xdr:rowOff>149678</xdr:rowOff>
    </xdr:to>
    <xdr:graphicFrame macro="">
      <xdr:nvGraphicFramePr>
        <xdr:cNvPr id="29" name="Chart 28">
          <a:extLst>
            <a:ext uri="{FF2B5EF4-FFF2-40B4-BE49-F238E27FC236}">
              <a16:creationId xmlns:a16="http://schemas.microsoft.com/office/drawing/2014/main" id="{57241939-5C86-4E9D-BCDE-9076A6273F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11</xdr:col>
      <xdr:colOff>40366</xdr:colOff>
      <xdr:row>222</xdr:row>
      <xdr:rowOff>200480</xdr:rowOff>
    </xdr:from>
    <xdr:to>
      <xdr:col>18</xdr:col>
      <xdr:colOff>435428</xdr:colOff>
      <xdr:row>238</xdr:row>
      <xdr:rowOff>136071</xdr:rowOff>
    </xdr:to>
    <xdr:graphicFrame macro="">
      <xdr:nvGraphicFramePr>
        <xdr:cNvPr id="32" name="Chart 31">
          <a:extLst>
            <a:ext uri="{FF2B5EF4-FFF2-40B4-BE49-F238E27FC236}">
              <a16:creationId xmlns:a16="http://schemas.microsoft.com/office/drawing/2014/main" id="{0EBC9DB4-D639-49B1-9F21-BAA37BD880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xdr:col>
      <xdr:colOff>619125</xdr:colOff>
      <xdr:row>241</xdr:row>
      <xdr:rowOff>159656</xdr:rowOff>
    </xdr:from>
    <xdr:to>
      <xdr:col>8</xdr:col>
      <xdr:colOff>108858</xdr:colOff>
      <xdr:row>257</xdr:row>
      <xdr:rowOff>163286</xdr:rowOff>
    </xdr:to>
    <xdr:graphicFrame macro="">
      <xdr:nvGraphicFramePr>
        <xdr:cNvPr id="34" name="Chart 33">
          <a:extLst>
            <a:ext uri="{FF2B5EF4-FFF2-40B4-BE49-F238E27FC236}">
              <a16:creationId xmlns:a16="http://schemas.microsoft.com/office/drawing/2014/main" id="{96FC22CB-ABC8-4897-9C46-2251E7B4A2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10</xdr:col>
      <xdr:colOff>564695</xdr:colOff>
      <xdr:row>242</xdr:row>
      <xdr:rowOff>2719</xdr:rowOff>
    </xdr:from>
    <xdr:to>
      <xdr:col>18</xdr:col>
      <xdr:colOff>231321</xdr:colOff>
      <xdr:row>258</xdr:row>
      <xdr:rowOff>27214</xdr:rowOff>
    </xdr:to>
    <xdr:graphicFrame macro="">
      <xdr:nvGraphicFramePr>
        <xdr:cNvPr id="35" name="Chart 34">
          <a:extLst>
            <a:ext uri="{FF2B5EF4-FFF2-40B4-BE49-F238E27FC236}">
              <a16:creationId xmlns:a16="http://schemas.microsoft.com/office/drawing/2014/main" id="{9F9C11AB-996E-4E1E-BA0D-69C0F9B909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xdr:col>
      <xdr:colOff>448581</xdr:colOff>
      <xdr:row>263</xdr:row>
      <xdr:rowOff>190045</xdr:rowOff>
    </xdr:from>
    <xdr:to>
      <xdr:col>8</xdr:col>
      <xdr:colOff>108857</xdr:colOff>
      <xdr:row>279</xdr:row>
      <xdr:rowOff>27214</xdr:rowOff>
    </xdr:to>
    <xdr:graphicFrame macro="">
      <xdr:nvGraphicFramePr>
        <xdr:cNvPr id="36" name="Chart 35">
          <a:extLst>
            <a:ext uri="{FF2B5EF4-FFF2-40B4-BE49-F238E27FC236}">
              <a16:creationId xmlns:a16="http://schemas.microsoft.com/office/drawing/2014/main" id="{0E5F7077-B156-45E3-9E02-3A5F8B9933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11</xdr:col>
      <xdr:colOff>37190</xdr:colOff>
      <xdr:row>263</xdr:row>
      <xdr:rowOff>146048</xdr:rowOff>
    </xdr:from>
    <xdr:to>
      <xdr:col>18</xdr:col>
      <xdr:colOff>149677</xdr:colOff>
      <xdr:row>279</xdr:row>
      <xdr:rowOff>13607</xdr:rowOff>
    </xdr:to>
    <xdr:graphicFrame macro="">
      <xdr:nvGraphicFramePr>
        <xdr:cNvPr id="39" name="Chart 38">
          <a:extLst>
            <a:ext uri="{FF2B5EF4-FFF2-40B4-BE49-F238E27FC236}">
              <a16:creationId xmlns:a16="http://schemas.microsoft.com/office/drawing/2014/main" id="{E7187D39-62E0-4082-B0D8-4EC7AB1E55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xdr:col>
      <xdr:colOff>507092</xdr:colOff>
      <xdr:row>282</xdr:row>
      <xdr:rowOff>182788</xdr:rowOff>
    </xdr:from>
    <xdr:to>
      <xdr:col>8</xdr:col>
      <xdr:colOff>353786</xdr:colOff>
      <xdr:row>298</xdr:row>
      <xdr:rowOff>27214</xdr:rowOff>
    </xdr:to>
    <xdr:graphicFrame macro="">
      <xdr:nvGraphicFramePr>
        <xdr:cNvPr id="41" name="Chart 40">
          <a:extLst>
            <a:ext uri="{FF2B5EF4-FFF2-40B4-BE49-F238E27FC236}">
              <a16:creationId xmlns:a16="http://schemas.microsoft.com/office/drawing/2014/main" id="{B8863FA3-8537-47D8-901D-B7E835FD20E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10</xdr:col>
      <xdr:colOff>591910</xdr:colOff>
      <xdr:row>282</xdr:row>
      <xdr:rowOff>190045</xdr:rowOff>
    </xdr:from>
    <xdr:to>
      <xdr:col>18</xdr:col>
      <xdr:colOff>258535</xdr:colOff>
      <xdr:row>298</xdr:row>
      <xdr:rowOff>40822</xdr:rowOff>
    </xdr:to>
    <xdr:graphicFrame macro="">
      <xdr:nvGraphicFramePr>
        <xdr:cNvPr id="45" name="Chart 44">
          <a:extLst>
            <a:ext uri="{FF2B5EF4-FFF2-40B4-BE49-F238E27FC236}">
              <a16:creationId xmlns:a16="http://schemas.microsoft.com/office/drawing/2014/main" id="{4F7D8D45-C1F6-449A-BBBF-7D1D266509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xdr:col>
      <xdr:colOff>496659</xdr:colOff>
      <xdr:row>303</xdr:row>
      <xdr:rowOff>158750</xdr:rowOff>
    </xdr:from>
    <xdr:to>
      <xdr:col>8</xdr:col>
      <xdr:colOff>408215</xdr:colOff>
      <xdr:row>318</xdr:row>
      <xdr:rowOff>81643</xdr:rowOff>
    </xdr:to>
    <xdr:graphicFrame macro="">
      <xdr:nvGraphicFramePr>
        <xdr:cNvPr id="63" name="Chart 62">
          <a:extLst>
            <a:ext uri="{FF2B5EF4-FFF2-40B4-BE49-F238E27FC236}">
              <a16:creationId xmlns:a16="http://schemas.microsoft.com/office/drawing/2014/main" id="{1F1D5C48-18C8-4410-B37E-A192B4ED09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11</xdr:col>
      <xdr:colOff>238124</xdr:colOff>
      <xdr:row>303</xdr:row>
      <xdr:rowOff>111578</xdr:rowOff>
    </xdr:from>
    <xdr:to>
      <xdr:col>19</xdr:col>
      <xdr:colOff>27215</xdr:colOff>
      <xdr:row>319</xdr:row>
      <xdr:rowOff>54429</xdr:rowOff>
    </xdr:to>
    <xdr:graphicFrame macro="">
      <xdr:nvGraphicFramePr>
        <xdr:cNvPr id="65" name="Chart 64">
          <a:extLst>
            <a:ext uri="{FF2B5EF4-FFF2-40B4-BE49-F238E27FC236}">
              <a16:creationId xmlns:a16="http://schemas.microsoft.com/office/drawing/2014/main" id="{42500726-CC4A-4C91-BB30-C22C504EC6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xdr:col>
      <xdr:colOff>534307</xdr:colOff>
      <xdr:row>322</xdr:row>
      <xdr:rowOff>142874</xdr:rowOff>
    </xdr:from>
    <xdr:to>
      <xdr:col>8</xdr:col>
      <xdr:colOff>421822</xdr:colOff>
      <xdr:row>339</xdr:row>
      <xdr:rowOff>13607</xdr:rowOff>
    </xdr:to>
    <xdr:graphicFrame macro="">
      <xdr:nvGraphicFramePr>
        <xdr:cNvPr id="70" name="Chart 69">
          <a:extLst>
            <a:ext uri="{FF2B5EF4-FFF2-40B4-BE49-F238E27FC236}">
              <a16:creationId xmlns:a16="http://schemas.microsoft.com/office/drawing/2014/main" id="{C69F9E62-A278-4E7C-B599-7F9738DB91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xdr:col>
      <xdr:colOff>381454</xdr:colOff>
      <xdr:row>342</xdr:row>
      <xdr:rowOff>182790</xdr:rowOff>
    </xdr:from>
    <xdr:to>
      <xdr:col>8</xdr:col>
      <xdr:colOff>530679</xdr:colOff>
      <xdr:row>359</xdr:row>
      <xdr:rowOff>0</xdr:rowOff>
    </xdr:to>
    <xdr:graphicFrame macro="">
      <xdr:nvGraphicFramePr>
        <xdr:cNvPr id="71" name="Chart 70">
          <a:extLst>
            <a:ext uri="{FF2B5EF4-FFF2-40B4-BE49-F238E27FC236}">
              <a16:creationId xmlns:a16="http://schemas.microsoft.com/office/drawing/2014/main" id="{DCC4495E-8DB2-4CFB-AF9B-C83EF6AE77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11</xdr:col>
      <xdr:colOff>30842</xdr:colOff>
      <xdr:row>362</xdr:row>
      <xdr:rowOff>141966</xdr:rowOff>
    </xdr:from>
    <xdr:to>
      <xdr:col>18</xdr:col>
      <xdr:colOff>244928</xdr:colOff>
      <xdr:row>378</xdr:row>
      <xdr:rowOff>40820</xdr:rowOff>
    </xdr:to>
    <xdr:graphicFrame macro="">
      <xdr:nvGraphicFramePr>
        <xdr:cNvPr id="73" name="Chart 72">
          <a:extLst>
            <a:ext uri="{FF2B5EF4-FFF2-40B4-BE49-F238E27FC236}">
              <a16:creationId xmlns:a16="http://schemas.microsoft.com/office/drawing/2014/main" id="{8D573B12-60C6-477E-9287-318230A4E4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xdr:col>
      <xdr:colOff>74838</xdr:colOff>
      <xdr:row>381</xdr:row>
      <xdr:rowOff>125186</xdr:rowOff>
    </xdr:from>
    <xdr:to>
      <xdr:col>8</xdr:col>
      <xdr:colOff>122465</xdr:colOff>
      <xdr:row>398</xdr:row>
      <xdr:rowOff>54429</xdr:rowOff>
    </xdr:to>
    <xdr:graphicFrame macro="">
      <xdr:nvGraphicFramePr>
        <xdr:cNvPr id="76" name="Chart 75">
          <a:extLst>
            <a:ext uri="{FF2B5EF4-FFF2-40B4-BE49-F238E27FC236}">
              <a16:creationId xmlns:a16="http://schemas.microsoft.com/office/drawing/2014/main" id="{2EBDAA41-6161-4E22-B2CB-35C792BCE2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11</xdr:col>
      <xdr:colOff>65313</xdr:colOff>
      <xdr:row>381</xdr:row>
      <xdr:rowOff>104321</xdr:rowOff>
    </xdr:from>
    <xdr:to>
      <xdr:col>18</xdr:col>
      <xdr:colOff>449035</xdr:colOff>
      <xdr:row>398</xdr:row>
      <xdr:rowOff>149679</xdr:rowOff>
    </xdr:to>
    <xdr:graphicFrame macro="">
      <xdr:nvGraphicFramePr>
        <xdr:cNvPr id="78" name="Chart 77">
          <a:extLst>
            <a:ext uri="{FF2B5EF4-FFF2-40B4-BE49-F238E27FC236}">
              <a16:creationId xmlns:a16="http://schemas.microsoft.com/office/drawing/2014/main" id="{80D28F14-0EC1-4AD5-ADEB-3DA062B3D5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xdr:col>
      <xdr:colOff>30841</xdr:colOff>
      <xdr:row>402</xdr:row>
      <xdr:rowOff>125185</xdr:rowOff>
    </xdr:from>
    <xdr:to>
      <xdr:col>8</xdr:col>
      <xdr:colOff>285749</xdr:colOff>
      <xdr:row>418</xdr:row>
      <xdr:rowOff>54429</xdr:rowOff>
    </xdr:to>
    <xdr:graphicFrame macro="">
      <xdr:nvGraphicFramePr>
        <xdr:cNvPr id="79" name="Chart 78">
          <a:extLst>
            <a:ext uri="{FF2B5EF4-FFF2-40B4-BE49-F238E27FC236}">
              <a16:creationId xmlns:a16="http://schemas.microsoft.com/office/drawing/2014/main" id="{FE0726A8-AEDA-4E26-821A-006AFB5212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xdr:col>
      <xdr:colOff>6802</xdr:colOff>
      <xdr:row>421</xdr:row>
      <xdr:rowOff>162830</xdr:rowOff>
    </xdr:from>
    <xdr:to>
      <xdr:col>8</xdr:col>
      <xdr:colOff>176893</xdr:colOff>
      <xdr:row>437</xdr:row>
      <xdr:rowOff>163285</xdr:rowOff>
    </xdr:to>
    <xdr:graphicFrame macro="">
      <xdr:nvGraphicFramePr>
        <xdr:cNvPr id="84" name="Chart 83">
          <a:extLst>
            <a:ext uri="{FF2B5EF4-FFF2-40B4-BE49-F238E27FC236}">
              <a16:creationId xmlns:a16="http://schemas.microsoft.com/office/drawing/2014/main" id="{E3017400-65D2-4E39-BE6D-E770509AD1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11</xdr:col>
      <xdr:colOff>132442</xdr:colOff>
      <xdr:row>421</xdr:row>
      <xdr:rowOff>141968</xdr:rowOff>
    </xdr:from>
    <xdr:to>
      <xdr:col>18</xdr:col>
      <xdr:colOff>244928</xdr:colOff>
      <xdr:row>437</xdr:row>
      <xdr:rowOff>176893</xdr:rowOff>
    </xdr:to>
    <xdr:graphicFrame macro="">
      <xdr:nvGraphicFramePr>
        <xdr:cNvPr id="85" name="Chart 84">
          <a:extLst>
            <a:ext uri="{FF2B5EF4-FFF2-40B4-BE49-F238E27FC236}">
              <a16:creationId xmlns:a16="http://schemas.microsoft.com/office/drawing/2014/main" id="{4BC5843C-1735-4364-A1D3-9F74CC494C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xdr:col>
      <xdr:colOff>142874</xdr:colOff>
      <xdr:row>440</xdr:row>
      <xdr:rowOff>159656</xdr:rowOff>
    </xdr:from>
    <xdr:to>
      <xdr:col>7</xdr:col>
      <xdr:colOff>625928</xdr:colOff>
      <xdr:row>457</xdr:row>
      <xdr:rowOff>54427</xdr:rowOff>
    </xdr:to>
    <xdr:graphicFrame macro="">
      <xdr:nvGraphicFramePr>
        <xdr:cNvPr id="86" name="Chart 85">
          <a:extLst>
            <a:ext uri="{FF2B5EF4-FFF2-40B4-BE49-F238E27FC236}">
              <a16:creationId xmlns:a16="http://schemas.microsoft.com/office/drawing/2014/main" id="{546D5012-1B0C-44F8-9956-69D69FDD95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11</xdr:col>
      <xdr:colOff>159655</xdr:colOff>
      <xdr:row>440</xdr:row>
      <xdr:rowOff>193221</xdr:rowOff>
    </xdr:from>
    <xdr:to>
      <xdr:col>18</xdr:col>
      <xdr:colOff>217714</xdr:colOff>
      <xdr:row>457</xdr:row>
      <xdr:rowOff>40820</xdr:rowOff>
    </xdr:to>
    <xdr:graphicFrame macro="">
      <xdr:nvGraphicFramePr>
        <xdr:cNvPr id="88" name="Chart 87">
          <a:extLst>
            <a:ext uri="{FF2B5EF4-FFF2-40B4-BE49-F238E27FC236}">
              <a16:creationId xmlns:a16="http://schemas.microsoft.com/office/drawing/2014/main" id="{2FCEE9E3-9620-440A-91D8-047815EAA7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xdr:col>
      <xdr:colOff>50798</xdr:colOff>
      <xdr:row>461</xdr:row>
      <xdr:rowOff>145143</xdr:rowOff>
    </xdr:from>
    <xdr:to>
      <xdr:col>8</xdr:col>
      <xdr:colOff>244928</xdr:colOff>
      <xdr:row>476</xdr:row>
      <xdr:rowOff>163284</xdr:rowOff>
    </xdr:to>
    <xdr:graphicFrame macro="">
      <xdr:nvGraphicFramePr>
        <xdr:cNvPr id="89" name="Chart 88">
          <a:extLst>
            <a:ext uri="{FF2B5EF4-FFF2-40B4-BE49-F238E27FC236}">
              <a16:creationId xmlns:a16="http://schemas.microsoft.com/office/drawing/2014/main" id="{A47A0633-2212-47E2-87B1-7DA8C01B32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11</xdr:col>
      <xdr:colOff>163738</xdr:colOff>
      <xdr:row>461</xdr:row>
      <xdr:rowOff>158750</xdr:rowOff>
    </xdr:from>
    <xdr:to>
      <xdr:col>18</xdr:col>
      <xdr:colOff>557892</xdr:colOff>
      <xdr:row>478</xdr:row>
      <xdr:rowOff>95250</xdr:rowOff>
    </xdr:to>
    <xdr:graphicFrame macro="">
      <xdr:nvGraphicFramePr>
        <xdr:cNvPr id="90" name="Chart 89">
          <a:extLst>
            <a:ext uri="{FF2B5EF4-FFF2-40B4-BE49-F238E27FC236}">
              <a16:creationId xmlns:a16="http://schemas.microsoft.com/office/drawing/2014/main" id="{9CA99997-6D46-4D6F-92A0-FBD3FE6886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xdr:col>
      <xdr:colOff>85273</xdr:colOff>
      <xdr:row>481</xdr:row>
      <xdr:rowOff>159655</xdr:rowOff>
    </xdr:from>
    <xdr:to>
      <xdr:col>8</xdr:col>
      <xdr:colOff>204108</xdr:colOff>
      <xdr:row>497</xdr:row>
      <xdr:rowOff>190500</xdr:rowOff>
    </xdr:to>
    <xdr:graphicFrame macro="">
      <xdr:nvGraphicFramePr>
        <xdr:cNvPr id="91" name="Chart 90">
          <a:extLst>
            <a:ext uri="{FF2B5EF4-FFF2-40B4-BE49-F238E27FC236}">
              <a16:creationId xmlns:a16="http://schemas.microsoft.com/office/drawing/2014/main" id="{AFD81C38-CD71-4C45-850E-111FB0B87C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11</xdr:col>
      <xdr:colOff>170088</xdr:colOff>
      <xdr:row>481</xdr:row>
      <xdr:rowOff>135617</xdr:rowOff>
    </xdr:from>
    <xdr:to>
      <xdr:col>18</xdr:col>
      <xdr:colOff>598714</xdr:colOff>
      <xdr:row>497</xdr:row>
      <xdr:rowOff>95250</xdr:rowOff>
    </xdr:to>
    <xdr:graphicFrame macro="">
      <xdr:nvGraphicFramePr>
        <xdr:cNvPr id="92" name="Chart 91">
          <a:extLst>
            <a:ext uri="{FF2B5EF4-FFF2-40B4-BE49-F238E27FC236}">
              <a16:creationId xmlns:a16="http://schemas.microsoft.com/office/drawing/2014/main" id="{F1AFA9B3-C76F-42B4-8D29-A66FB5EF42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xdr:col>
      <xdr:colOff>85271</xdr:colOff>
      <xdr:row>501</xdr:row>
      <xdr:rowOff>9072</xdr:rowOff>
    </xdr:from>
    <xdr:to>
      <xdr:col>8</xdr:col>
      <xdr:colOff>285750</xdr:colOff>
      <xdr:row>516</xdr:row>
      <xdr:rowOff>108857</xdr:rowOff>
    </xdr:to>
    <xdr:graphicFrame macro="">
      <xdr:nvGraphicFramePr>
        <xdr:cNvPr id="93" name="Chart 92">
          <a:extLst>
            <a:ext uri="{FF2B5EF4-FFF2-40B4-BE49-F238E27FC236}">
              <a16:creationId xmlns:a16="http://schemas.microsoft.com/office/drawing/2014/main" id="{0E04C166-930A-417C-9ED4-8DCDEA409E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avid\Desktop\KPI_Q4%20FY21_1705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rends file-1"/>
      <sheetName val="Trends file-2 "/>
      <sheetName val="Trends file-3"/>
      <sheetName val="Trends file-4"/>
      <sheetName val="Trends file-5-SCH"/>
      <sheetName val="Trends file-6-Ops"/>
    </sheetNames>
    <sheetDataSet>
      <sheetData sheetId="0" refreshError="1"/>
      <sheetData sheetId="1" refreshError="1"/>
      <sheetData sheetId="2" refreshError="1"/>
      <sheetData sheetId="3" refreshError="1"/>
      <sheetData sheetId="4" refreshError="1"/>
      <sheetData sheetId="5" refreshError="1"/>
      <sheetData sheetId="6" refreshError="1">
        <row r="53">
          <cell r="C53">
            <v>273.52</v>
          </cell>
        </row>
        <row r="54">
          <cell r="C54">
            <v>684.06609120693895</v>
          </cell>
        </row>
      </sheetData>
    </sheetDataSet>
  </externalBook>
</externalLink>
</file>

<file path=xl/theme/theme1.xml><?xml version="1.0" encoding="utf-8"?>
<a:theme xmlns:a="http://schemas.openxmlformats.org/drawingml/2006/main" name="Office Theme">
  <a:themeElements>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hyperlink" Target="http://go.pardot.com/e/584433/strong-underlying-performance-/5v3mzn/735386479?h=C0G1ZpD8LrXdKDXcbMdAHrLrAT-3jViMqKljU_ahd8c" TargetMode="External"/><Relationship Id="rId13" Type="http://schemas.openxmlformats.org/officeDocument/2006/relationships/drawing" Target="../drawings/drawing1.xml"/><Relationship Id="rId3" Type="http://schemas.openxmlformats.org/officeDocument/2006/relationships/hyperlink" Target="http://go.pardot.com/e/584433/a-buy-thoughts-after-the-call-/5pd6v8/581109667?h=ibMvMBX6vuz4bMIdPIFhrH_FseS05THtI8LQy0yIQME" TargetMode="External"/><Relationship Id="rId7" Type="http://schemas.openxmlformats.org/officeDocument/2006/relationships/hyperlink" Target="https://www.newstreetresearch.com/download-page/bharti-lifts-entry-plan-price-by-57-in-7-more-regions/" TargetMode="External"/><Relationship Id="rId12" Type="http://schemas.openxmlformats.org/officeDocument/2006/relationships/printerSettings" Target="../printerSettings/printerSettings1.bin"/><Relationship Id="rId2" Type="http://schemas.openxmlformats.org/officeDocument/2006/relationships/hyperlink" Target="http://go.pardot.com/e/584433/note-2-i-please-do-not-delete-/5h63z4/491474881?h=tJ1UxW7_SFg-DxD00SEa53Nn3qz01v23S3Y8CK3bKnA" TargetMode="External"/><Relationship Id="rId1" Type="http://schemas.openxmlformats.org/officeDocument/2006/relationships/hyperlink" Target="http://go.pardot.com/e/584433/l-the-big-picture-buy-the-dip-/5h63yx/491474881?h=tJ1UxW7_SFg-DxD00SEa53Nn3qz01v23S3Y8CK3bKnA" TargetMode="External"/><Relationship Id="rId6" Type="http://schemas.openxmlformats.org/officeDocument/2006/relationships/hyperlink" Target="https://www.newstreetresearch.com/download-page/african-telcos-and-towers-what-if-the-naira-devalues-to-600/" TargetMode="External"/><Relationship Id="rId11" Type="http://schemas.openxmlformats.org/officeDocument/2006/relationships/hyperlink" Target="https://www.newstreetresearch.com/research/airtel-africa-q2-24-solid-quarter-positive-message-on-margins/" TargetMode="External"/><Relationship Id="rId5" Type="http://schemas.openxmlformats.org/officeDocument/2006/relationships/hyperlink" Target="https://www.newstreetresearch.com/download-page/airtel-africa-q3-23-solid-results-in-nigeria-but-slower-quarter-in-east-africa-and-francophone/" TargetMode="External"/><Relationship Id="rId10" Type="http://schemas.openxmlformats.org/officeDocument/2006/relationships/hyperlink" Target="http://go.pardot.com/e/584433/-p-19057/5v2lym/724656837?h=2BBf2kFDHzB06o2jGyX9Gi8aUgiiLGojbQ_p_LY_wWs" TargetMode="External"/><Relationship Id="rId4" Type="http://schemas.openxmlformats.org/officeDocument/2006/relationships/hyperlink" Target="http://go.pardot.com/e/584433/high-price-target-to-inr-1400-/5qznvg/609991816?h=aFVef7n97jwJO9F_e48UH6J_Rz6eC-u8AvCoh0rewgE" TargetMode="External"/><Relationship Id="rId9" Type="http://schemas.openxmlformats.org/officeDocument/2006/relationships/hyperlink" Target="http://go.pardot.com/e/584433/ck-take-improvements-continue-/5v3p4r/735550531?h=YwlJbNBbHBFx22UcIYCAUqDU1fubEO6taMtz6GdWe50"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03"/>
  <sheetViews>
    <sheetView tabSelected="1" zoomScale="70" zoomScaleNormal="70" workbookViewId="0">
      <selection activeCell="V18" sqref="V18"/>
    </sheetView>
  </sheetViews>
  <sheetFormatPr defaultColWidth="9.234375" defaultRowHeight="15.35"/>
  <cols>
    <col min="1" max="2" width="9.234375" style="6"/>
    <col min="3" max="3" width="53.234375" style="6" customWidth="1"/>
    <col min="4" max="5" width="9.234375" style="6"/>
    <col min="6" max="6" width="8.76171875" style="6" customWidth="1"/>
    <col min="7" max="25" width="9.234375" style="6"/>
    <col min="26" max="26" width="10.76171875" style="6" bestFit="1" customWidth="1"/>
    <col min="27" max="27" width="9.234375" style="6" bestFit="1" customWidth="1"/>
    <col min="28" max="16384" width="9.234375" style="6"/>
  </cols>
  <sheetData>
    <row r="1" spans="1:37" s="433" customFormat="1" ht="20.350000000000001">
      <c r="A1" s="434" t="s">
        <v>477</v>
      </c>
      <c r="B1" s="435"/>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row>
    <row r="2" spans="1:37" s="433" customFormat="1" ht="20.350000000000001">
      <c r="A2" s="434" t="s">
        <v>478</v>
      </c>
      <c r="B2" s="435"/>
      <c r="C2" s="435"/>
      <c r="D2" s="435"/>
      <c r="E2" s="435"/>
      <c r="F2" s="435"/>
      <c r="G2" s="435"/>
      <c r="H2" s="435"/>
      <c r="I2" s="435"/>
      <c r="J2" s="435"/>
      <c r="K2" s="435"/>
      <c r="L2" s="435"/>
      <c r="M2" s="435"/>
      <c r="N2" s="435"/>
      <c r="O2" s="435"/>
      <c r="P2" s="435"/>
      <c r="Q2" s="435"/>
      <c r="R2" s="435"/>
      <c r="S2" s="435"/>
      <c r="T2" s="435"/>
      <c r="U2" s="435"/>
      <c r="V2" s="435"/>
      <c r="W2" s="435"/>
      <c r="X2" s="435"/>
      <c r="Y2" s="435"/>
      <c r="Z2" s="435"/>
      <c r="AA2" s="435"/>
      <c r="AB2" s="435"/>
      <c r="AC2" s="435"/>
      <c r="AD2" s="435"/>
      <c r="AE2" s="435"/>
      <c r="AF2" s="435"/>
      <c r="AG2" s="435"/>
      <c r="AH2" s="435"/>
      <c r="AI2" s="435"/>
      <c r="AJ2" s="435"/>
      <c r="AK2" s="435"/>
    </row>
    <row r="3" spans="1:37" s="49" customFormat="1">
      <c r="A3" s="436"/>
      <c r="B3" s="436"/>
      <c r="C3" s="436"/>
      <c r="D3" s="436"/>
      <c r="E3" s="436"/>
      <c r="F3" s="436"/>
      <c r="G3" s="436"/>
      <c r="H3" s="436"/>
      <c r="I3" s="436"/>
      <c r="J3" s="436"/>
      <c r="K3" s="436"/>
      <c r="L3" s="436"/>
      <c r="M3" s="436"/>
      <c r="N3" s="436"/>
      <c r="O3" s="436"/>
      <c r="P3" s="436"/>
      <c r="Q3" s="436"/>
      <c r="R3" s="436"/>
      <c r="S3" s="436"/>
      <c r="T3" s="436"/>
      <c r="U3" s="436"/>
      <c r="V3" s="436"/>
      <c r="W3" s="436"/>
      <c r="X3" s="436"/>
      <c r="Y3" s="436"/>
      <c r="Z3" s="436"/>
      <c r="AA3" s="436"/>
      <c r="AB3" s="436"/>
      <c r="AC3" s="436"/>
      <c r="AD3" s="436"/>
      <c r="AE3" s="436"/>
      <c r="AF3" s="436"/>
      <c r="AG3" s="436"/>
      <c r="AH3" s="436"/>
      <c r="AI3" s="436"/>
      <c r="AJ3" s="436"/>
      <c r="AK3" s="436"/>
    </row>
    <row r="4" spans="1:37" s="49" customFormat="1" ht="17.25" customHeight="1">
      <c r="A4" s="436" t="s">
        <v>442</v>
      </c>
      <c r="B4" s="445" t="s">
        <v>443</v>
      </c>
      <c r="C4" s="436" t="s">
        <v>479</v>
      </c>
      <c r="D4" s="436"/>
      <c r="E4" s="436"/>
      <c r="F4" s="438" t="s">
        <v>565</v>
      </c>
      <c r="G4" s="436"/>
      <c r="H4" s="436"/>
      <c r="I4" s="436"/>
      <c r="J4" s="436"/>
      <c r="K4" s="436"/>
      <c r="L4" s="436"/>
      <c r="M4" s="436"/>
      <c r="N4" s="436"/>
      <c r="O4" s="436"/>
      <c r="P4" s="436"/>
      <c r="Q4" s="436"/>
      <c r="R4" s="436"/>
      <c r="S4" s="436"/>
      <c r="T4" s="436"/>
      <c r="U4" s="436"/>
      <c r="V4" s="436"/>
      <c r="W4" s="436"/>
      <c r="X4" s="436"/>
      <c r="Y4" s="436"/>
      <c r="Z4" s="436"/>
      <c r="AA4" s="436"/>
      <c r="AB4" s="436"/>
      <c r="AC4" s="436"/>
      <c r="AD4" s="436"/>
      <c r="AE4" s="436"/>
      <c r="AF4" s="436"/>
      <c r="AG4" s="436"/>
      <c r="AH4" s="436"/>
      <c r="AI4" s="436"/>
      <c r="AJ4" s="436"/>
      <c r="AK4" s="436"/>
    </row>
    <row r="5" spans="1:37" s="49" customFormat="1" ht="17.25" customHeight="1">
      <c r="A5" s="436"/>
      <c r="B5" s="445" t="s">
        <v>444</v>
      </c>
      <c r="C5" s="436" t="s">
        <v>480</v>
      </c>
      <c r="D5" s="436"/>
      <c r="E5" s="436"/>
      <c r="F5" s="436"/>
      <c r="G5" s="436"/>
      <c r="H5" s="436"/>
      <c r="I5" s="436"/>
      <c r="J5" s="436"/>
      <c r="K5" s="436"/>
      <c r="L5" s="436"/>
      <c r="M5" s="436"/>
      <c r="N5" s="436"/>
      <c r="O5" s="436"/>
      <c r="P5" s="436"/>
      <c r="Q5" s="436"/>
      <c r="R5" s="436"/>
      <c r="S5" s="436"/>
      <c r="T5" s="436"/>
      <c r="U5" s="436"/>
      <c r="V5" s="436"/>
      <c r="W5" s="436"/>
      <c r="X5" s="436"/>
      <c r="Y5" s="436"/>
      <c r="Z5" s="436"/>
      <c r="AA5" s="436"/>
      <c r="AB5" s="436"/>
      <c r="AC5" s="436"/>
      <c r="AD5" s="436"/>
      <c r="AE5" s="436"/>
      <c r="AF5" s="436"/>
      <c r="AG5" s="436"/>
      <c r="AH5" s="436"/>
      <c r="AI5" s="436"/>
      <c r="AJ5" s="436"/>
      <c r="AK5" s="436"/>
    </row>
    <row r="6" spans="1:37" s="49" customFormat="1" ht="17.25" customHeight="1">
      <c r="A6" s="436"/>
      <c r="B6" s="445" t="s">
        <v>445</v>
      </c>
      <c r="C6" s="436" t="s">
        <v>481</v>
      </c>
      <c r="D6" s="436"/>
      <c r="E6" s="436"/>
      <c r="F6" s="439" t="s">
        <v>606</v>
      </c>
      <c r="G6" s="436"/>
      <c r="H6" s="436"/>
      <c r="I6" s="436"/>
      <c r="J6" s="436"/>
      <c r="K6" s="436"/>
      <c r="L6" s="436"/>
      <c r="M6" s="436"/>
      <c r="N6" s="436"/>
      <c r="O6" s="436"/>
      <c r="P6" s="436"/>
      <c r="Q6" s="436"/>
      <c r="R6" s="436"/>
      <c r="S6" s="436"/>
      <c r="T6" s="436"/>
      <c r="U6" s="436"/>
      <c r="V6" s="436"/>
      <c r="W6" s="436"/>
      <c r="X6" s="436"/>
      <c r="Y6" s="436"/>
      <c r="Z6" s="436"/>
      <c r="AA6" s="436"/>
      <c r="AB6" s="436"/>
      <c r="AC6" s="436"/>
      <c r="AD6" s="436"/>
      <c r="AE6" s="436"/>
      <c r="AF6" s="436"/>
      <c r="AG6" s="436"/>
      <c r="AH6" s="436"/>
      <c r="AI6" s="436"/>
      <c r="AJ6" s="436"/>
      <c r="AK6" s="436"/>
    </row>
    <row r="7" spans="1:37" s="49" customFormat="1" ht="17.25" customHeight="1">
      <c r="A7" s="436"/>
      <c r="B7" s="445" t="s">
        <v>446</v>
      </c>
      <c r="C7" s="436" t="s">
        <v>482</v>
      </c>
      <c r="D7" s="436"/>
      <c r="E7" s="436"/>
      <c r="F7" s="436"/>
      <c r="G7" s="436"/>
      <c r="H7" s="436"/>
      <c r="I7" s="436"/>
      <c r="J7" s="436"/>
      <c r="K7" s="436"/>
      <c r="L7" s="436"/>
      <c r="M7" s="436"/>
      <c r="N7" s="436"/>
      <c r="O7" s="436"/>
      <c r="P7" s="436"/>
      <c r="Q7" s="436"/>
      <c r="R7" s="436"/>
      <c r="S7" s="436"/>
      <c r="T7" s="436"/>
      <c r="U7" s="436"/>
      <c r="V7" s="436"/>
      <c r="W7" s="436"/>
      <c r="X7" s="436"/>
      <c r="Y7" s="436"/>
      <c r="Z7" s="436"/>
      <c r="AA7" s="436"/>
      <c r="AB7" s="436"/>
      <c r="AC7" s="436"/>
      <c r="AD7" s="436"/>
      <c r="AE7" s="436"/>
      <c r="AF7" s="436"/>
      <c r="AG7" s="436"/>
      <c r="AH7" s="436"/>
      <c r="AI7" s="436"/>
      <c r="AJ7" s="436"/>
      <c r="AK7" s="436"/>
    </row>
    <row r="8" spans="1:37" s="49" customFormat="1" ht="17.25" customHeight="1">
      <c r="A8" s="436"/>
      <c r="B8" s="445" t="s">
        <v>447</v>
      </c>
      <c r="C8" s="436" t="s">
        <v>483</v>
      </c>
      <c r="D8" s="436"/>
      <c r="E8" s="436"/>
      <c r="F8" s="436"/>
      <c r="G8" s="436"/>
      <c r="H8" s="436"/>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36"/>
      <c r="AK8" s="436"/>
    </row>
    <row r="9" spans="1:37" s="49" customFormat="1" ht="17.25" customHeight="1">
      <c r="A9" s="436"/>
      <c r="B9" s="445" t="s">
        <v>448</v>
      </c>
      <c r="C9" s="436" t="s">
        <v>484</v>
      </c>
      <c r="D9" s="436"/>
      <c r="E9" s="436"/>
      <c r="F9" s="436"/>
      <c r="G9" s="436"/>
      <c r="H9" s="436"/>
      <c r="I9" s="436"/>
      <c r="J9" s="436"/>
      <c r="K9" s="436"/>
      <c r="L9" s="436"/>
      <c r="M9" s="436"/>
      <c r="N9" s="436"/>
      <c r="O9" s="436"/>
      <c r="P9" s="436"/>
      <c r="Q9" s="436"/>
      <c r="R9" s="436"/>
      <c r="S9" s="436"/>
      <c r="T9" s="436"/>
      <c r="U9" s="436"/>
      <c r="V9" s="436"/>
      <c r="W9" s="436"/>
      <c r="X9" s="436"/>
      <c r="Y9" s="436"/>
      <c r="Z9" s="436"/>
      <c r="AA9" s="436"/>
      <c r="AB9" s="436"/>
      <c r="AC9" s="436"/>
      <c r="AD9" s="436"/>
      <c r="AE9" s="436"/>
      <c r="AF9" s="436"/>
      <c r="AG9" s="436"/>
      <c r="AH9" s="436"/>
      <c r="AI9" s="436"/>
      <c r="AJ9" s="436"/>
      <c r="AK9" s="436"/>
    </row>
    <row r="10" spans="1:37" s="49" customFormat="1" ht="17.25" customHeight="1">
      <c r="A10" s="436"/>
      <c r="B10" s="445" t="s">
        <v>449</v>
      </c>
      <c r="C10" s="436" t="s">
        <v>485</v>
      </c>
      <c r="D10" s="436"/>
      <c r="E10" s="436"/>
      <c r="F10" s="436"/>
      <c r="G10" s="436"/>
      <c r="H10" s="436"/>
      <c r="I10" s="436"/>
      <c r="J10" s="436"/>
      <c r="K10" s="436"/>
      <c r="L10" s="436"/>
      <c r="M10" s="436"/>
      <c r="N10" s="436"/>
      <c r="O10" s="436"/>
      <c r="P10" s="436"/>
      <c r="Q10" s="436"/>
      <c r="R10" s="436"/>
      <c r="S10" s="436"/>
      <c r="T10" s="436"/>
      <c r="U10" s="436"/>
      <c r="V10" s="436"/>
      <c r="W10" s="436"/>
      <c r="X10" s="436"/>
      <c r="Y10" s="436"/>
      <c r="Z10" s="436"/>
      <c r="AA10" s="436"/>
      <c r="AB10" s="436"/>
      <c r="AC10" s="436"/>
      <c r="AD10" s="436"/>
      <c r="AE10" s="436"/>
      <c r="AF10" s="436"/>
      <c r="AG10" s="436"/>
      <c r="AH10" s="436"/>
      <c r="AI10" s="436"/>
      <c r="AJ10" s="436"/>
      <c r="AK10" s="436"/>
    </row>
    <row r="11" spans="1:37" s="49" customFormat="1" ht="17.25" customHeight="1">
      <c r="A11" s="436"/>
      <c r="B11" s="445" t="s">
        <v>450</v>
      </c>
      <c r="C11" s="440" t="s">
        <v>489</v>
      </c>
      <c r="D11" s="436"/>
      <c r="E11" s="436"/>
      <c r="F11" s="436"/>
      <c r="G11" s="436"/>
      <c r="H11" s="436"/>
      <c r="I11" s="436"/>
      <c r="J11" s="436"/>
      <c r="K11" s="436"/>
      <c r="L11" s="436"/>
      <c r="M11" s="436"/>
      <c r="N11" s="436"/>
      <c r="O11" s="436"/>
      <c r="P11" s="436"/>
      <c r="Q11" s="436"/>
      <c r="R11" s="436"/>
      <c r="S11" s="436"/>
      <c r="T11" s="436"/>
      <c r="U11" s="436"/>
      <c r="V11" s="436"/>
      <c r="W11" s="436"/>
      <c r="X11" s="436"/>
      <c r="Y11" s="436"/>
      <c r="Z11" s="436"/>
      <c r="AA11" s="436"/>
      <c r="AB11" s="436"/>
      <c r="AC11" s="436"/>
      <c r="AD11" s="436"/>
      <c r="AE11" s="436"/>
      <c r="AF11" s="436"/>
      <c r="AG11" s="436"/>
      <c r="AH11" s="436"/>
      <c r="AI11" s="436"/>
      <c r="AJ11" s="436"/>
      <c r="AK11" s="436"/>
    </row>
    <row r="12" spans="1:37" s="49" customFormat="1" ht="17.25" customHeight="1">
      <c r="A12" s="436"/>
      <c r="B12" s="445" t="s">
        <v>451</v>
      </c>
      <c r="C12" s="440" t="s">
        <v>490</v>
      </c>
      <c r="D12" s="436"/>
      <c r="E12" s="436"/>
      <c r="F12" s="436"/>
      <c r="G12" s="436"/>
      <c r="H12" s="436"/>
      <c r="I12" s="436"/>
      <c r="J12" s="436"/>
      <c r="K12" s="436"/>
      <c r="L12" s="436"/>
      <c r="M12" s="436"/>
      <c r="N12" s="436"/>
      <c r="O12" s="436"/>
      <c r="P12" s="436"/>
      <c r="Q12" s="436"/>
      <c r="R12" s="436"/>
      <c r="S12" s="436"/>
      <c r="T12" s="436"/>
      <c r="U12" s="436"/>
      <c r="V12" s="436"/>
      <c r="W12" s="436"/>
      <c r="X12" s="436"/>
      <c r="Y12" s="436"/>
      <c r="Z12" s="436"/>
      <c r="AA12" s="436"/>
      <c r="AB12" s="436"/>
      <c r="AC12" s="436"/>
      <c r="AD12" s="436"/>
      <c r="AE12" s="436"/>
      <c r="AF12" s="436"/>
      <c r="AG12" s="436"/>
      <c r="AH12" s="436"/>
      <c r="AI12" s="436"/>
      <c r="AJ12" s="436"/>
      <c r="AK12" s="436"/>
    </row>
    <row r="13" spans="1:37" s="49" customFormat="1" ht="17.25" customHeight="1">
      <c r="A13" s="436"/>
      <c r="B13" s="445" t="s">
        <v>452</v>
      </c>
      <c r="C13" s="436" t="s">
        <v>486</v>
      </c>
      <c r="D13" s="436"/>
      <c r="E13" s="436"/>
      <c r="F13" s="436"/>
      <c r="G13" s="436"/>
      <c r="H13" s="436"/>
      <c r="I13" s="436"/>
      <c r="J13" s="436"/>
      <c r="K13" s="436"/>
      <c r="L13" s="436"/>
      <c r="M13" s="436"/>
      <c r="N13" s="436"/>
      <c r="O13" s="436"/>
      <c r="P13" s="436"/>
      <c r="Q13" s="436"/>
      <c r="R13" s="436"/>
      <c r="S13" s="436"/>
      <c r="T13" s="436"/>
      <c r="U13" s="436"/>
      <c r="V13" s="436"/>
      <c r="W13" s="436"/>
      <c r="X13" s="436"/>
      <c r="Y13" s="436"/>
      <c r="Z13" s="436"/>
      <c r="AA13" s="436"/>
      <c r="AB13" s="436"/>
      <c r="AC13" s="436"/>
      <c r="AD13" s="436"/>
      <c r="AE13" s="436"/>
      <c r="AF13" s="436"/>
      <c r="AG13" s="436"/>
      <c r="AH13" s="436"/>
      <c r="AI13" s="436"/>
      <c r="AJ13" s="436"/>
      <c r="AK13" s="436"/>
    </row>
    <row r="14" spans="1:37" s="49" customFormat="1" ht="17.25" customHeight="1">
      <c r="A14" s="436"/>
      <c r="B14" s="445" t="s">
        <v>453</v>
      </c>
      <c r="C14" s="436" t="s">
        <v>487</v>
      </c>
      <c r="D14" s="436"/>
      <c r="E14" s="436"/>
      <c r="F14" s="436"/>
      <c r="G14" s="436"/>
      <c r="H14" s="436"/>
      <c r="I14" s="436"/>
      <c r="J14" s="436"/>
      <c r="K14" s="436"/>
      <c r="L14" s="436"/>
      <c r="M14" s="436"/>
      <c r="N14" s="436"/>
      <c r="O14" s="436"/>
      <c r="P14" s="436"/>
      <c r="Q14" s="436"/>
      <c r="R14" s="436"/>
      <c r="S14" s="436"/>
      <c r="T14" s="436"/>
      <c r="U14" s="436"/>
      <c r="V14" s="436"/>
      <c r="W14" s="436"/>
      <c r="X14" s="436"/>
      <c r="Y14" s="436"/>
      <c r="Z14" s="436"/>
      <c r="AA14" s="436"/>
      <c r="AB14" s="436"/>
      <c r="AC14" s="436"/>
      <c r="AD14" s="436"/>
      <c r="AE14" s="436"/>
      <c r="AF14" s="436"/>
      <c r="AG14" s="436"/>
      <c r="AH14" s="436"/>
      <c r="AI14" s="436"/>
      <c r="AJ14" s="436"/>
      <c r="AK14" s="436"/>
    </row>
    <row r="15" spans="1:37" s="49" customFormat="1" ht="17.25" customHeight="1">
      <c r="A15" s="436"/>
      <c r="B15" s="445" t="s">
        <v>454</v>
      </c>
      <c r="C15" s="436" t="s">
        <v>488</v>
      </c>
      <c r="D15" s="436"/>
      <c r="E15" s="436"/>
      <c r="F15" s="436"/>
      <c r="G15" s="436"/>
      <c r="H15" s="436"/>
      <c r="I15" s="436"/>
      <c r="J15" s="436"/>
      <c r="K15" s="436"/>
      <c r="L15" s="436"/>
      <c r="M15" s="436"/>
      <c r="N15" s="436"/>
      <c r="O15" s="436"/>
      <c r="P15" s="436"/>
      <c r="Q15" s="436"/>
      <c r="R15" s="436"/>
      <c r="S15" s="436"/>
      <c r="T15" s="436"/>
      <c r="U15" s="436"/>
      <c r="V15" s="436"/>
      <c r="W15" s="436"/>
      <c r="X15" s="436"/>
      <c r="Y15" s="436"/>
      <c r="Z15" s="436"/>
      <c r="AA15" s="436"/>
      <c r="AB15" s="436"/>
      <c r="AC15" s="436"/>
      <c r="AD15" s="436"/>
      <c r="AE15" s="436"/>
      <c r="AF15" s="436"/>
      <c r="AG15" s="436"/>
      <c r="AH15" s="436"/>
      <c r="AI15" s="436"/>
      <c r="AJ15" s="436"/>
      <c r="AK15" s="436"/>
    </row>
    <row r="16" spans="1:37" s="49" customFormat="1" ht="17.25" customHeight="1">
      <c r="A16" s="436"/>
      <c r="B16" s="436"/>
      <c r="C16" s="436"/>
      <c r="D16" s="436"/>
      <c r="E16" s="436"/>
      <c r="F16" s="436"/>
      <c r="G16" s="436"/>
      <c r="H16" s="436"/>
      <c r="I16" s="436"/>
      <c r="J16" s="436"/>
      <c r="K16" s="436"/>
      <c r="L16" s="436"/>
      <c r="M16" s="436"/>
      <c r="N16" s="436"/>
      <c r="O16" s="436"/>
      <c r="P16" s="436"/>
      <c r="Q16" s="436"/>
      <c r="R16" s="436"/>
      <c r="S16" s="436"/>
      <c r="T16" s="436"/>
      <c r="U16" s="436"/>
      <c r="V16" s="436"/>
      <c r="W16" s="436"/>
      <c r="X16" s="436"/>
      <c r="Y16" s="436"/>
      <c r="Z16" s="436"/>
      <c r="AA16" s="436"/>
      <c r="AB16" s="436"/>
      <c r="AC16" s="436"/>
      <c r="AD16" s="436"/>
      <c r="AE16" s="436"/>
      <c r="AF16" s="436"/>
      <c r="AG16" s="436"/>
      <c r="AH16" s="436"/>
      <c r="AI16" s="436"/>
      <c r="AJ16" s="436"/>
      <c r="AK16" s="436"/>
    </row>
    <row r="17" spans="1:37" s="49" customFormat="1" ht="17.25" customHeight="1">
      <c r="A17" s="436"/>
      <c r="B17" s="436"/>
      <c r="C17" s="436"/>
      <c r="D17" s="436"/>
      <c r="E17" s="436"/>
      <c r="F17" s="436"/>
      <c r="G17" s="436"/>
      <c r="H17" s="436"/>
      <c r="I17" s="436"/>
      <c r="J17" s="436"/>
      <c r="K17" s="436"/>
      <c r="L17" s="436"/>
      <c r="M17" s="436"/>
      <c r="N17" s="436"/>
      <c r="O17" s="436"/>
      <c r="P17" s="436"/>
      <c r="Q17" s="436"/>
      <c r="R17" s="436"/>
      <c r="S17" s="436"/>
      <c r="T17" s="436"/>
      <c r="U17" s="436"/>
      <c r="V17" s="436"/>
      <c r="W17" s="436"/>
      <c r="X17" s="436"/>
      <c r="Y17" s="436"/>
      <c r="Z17" s="436"/>
      <c r="AA17" s="436"/>
      <c r="AB17" s="436"/>
      <c r="AC17" s="436"/>
      <c r="AD17" s="436"/>
      <c r="AE17" s="436"/>
      <c r="AF17" s="436"/>
      <c r="AG17" s="436"/>
      <c r="AH17" s="436"/>
      <c r="AI17" s="436"/>
      <c r="AJ17" s="436"/>
      <c r="AK17" s="436"/>
    </row>
    <row r="18" spans="1:37" s="49" customFormat="1" ht="17.25" customHeight="1">
      <c r="A18" s="436"/>
      <c r="B18" s="441" t="s">
        <v>491</v>
      </c>
      <c r="C18" s="436"/>
      <c r="D18" s="436"/>
      <c r="E18" s="436"/>
      <c r="F18" s="436"/>
      <c r="G18" s="436"/>
      <c r="H18" s="436"/>
      <c r="I18" s="436"/>
      <c r="J18" s="436"/>
      <c r="K18" s="436"/>
      <c r="L18" s="436"/>
      <c r="M18" s="436"/>
      <c r="N18" s="436"/>
      <c r="O18" s="436"/>
      <c r="P18" s="436"/>
      <c r="Q18" s="436"/>
      <c r="R18" s="436"/>
      <c r="S18" s="436"/>
      <c r="T18" s="436"/>
      <c r="U18" s="436"/>
      <c r="V18" s="436"/>
      <c r="W18" s="436"/>
      <c r="X18" s="436"/>
      <c r="Y18" s="436"/>
      <c r="Z18" s="436"/>
      <c r="AA18" s="436"/>
      <c r="AB18" s="436"/>
      <c r="AC18" s="436"/>
      <c r="AD18" s="436"/>
      <c r="AE18" s="436"/>
      <c r="AF18" s="436"/>
      <c r="AG18" s="436"/>
      <c r="AH18" s="436"/>
      <c r="AI18" s="436"/>
      <c r="AJ18" s="436"/>
      <c r="AK18" s="436"/>
    </row>
    <row r="19" spans="1:37" s="49" customFormat="1" ht="17.25" customHeight="1">
      <c r="A19" s="436"/>
      <c r="B19" s="505"/>
      <c r="C19" s="436" t="s">
        <v>492</v>
      </c>
      <c r="D19" s="436"/>
      <c r="E19" s="436"/>
      <c r="F19" s="436"/>
      <c r="G19" s="436"/>
      <c r="H19" s="436"/>
      <c r="I19" s="436"/>
      <c r="J19" s="436"/>
      <c r="K19" s="436"/>
      <c r="L19" s="436"/>
      <c r="M19" s="436"/>
      <c r="N19" s="436"/>
      <c r="O19" s="436"/>
      <c r="P19" s="436"/>
      <c r="Q19" s="436"/>
      <c r="R19" s="436"/>
      <c r="S19" s="436"/>
      <c r="T19" s="436"/>
      <c r="U19" s="436"/>
      <c r="V19" s="436"/>
      <c r="W19" s="436"/>
      <c r="X19" s="436"/>
      <c r="Y19" s="436"/>
      <c r="Z19" s="436"/>
      <c r="AA19" s="446"/>
      <c r="AB19" s="436"/>
      <c r="AC19" s="446"/>
      <c r="AD19" s="446"/>
      <c r="AE19" s="436"/>
      <c r="AF19" s="436"/>
      <c r="AG19" s="436"/>
      <c r="AH19" s="436"/>
      <c r="AI19" s="436"/>
      <c r="AJ19" s="436"/>
      <c r="AK19" s="436"/>
    </row>
    <row r="20" spans="1:37" s="49" customFormat="1" ht="17.25" customHeight="1">
      <c r="A20" s="436"/>
      <c r="B20" s="506"/>
      <c r="C20" s="436" t="s">
        <v>493</v>
      </c>
      <c r="D20" s="436"/>
      <c r="E20" s="436"/>
      <c r="F20" s="436"/>
      <c r="G20" s="436"/>
      <c r="H20" s="436"/>
      <c r="I20" s="436"/>
      <c r="J20" s="436"/>
      <c r="K20" s="436"/>
      <c r="L20" s="436"/>
      <c r="M20" s="436"/>
      <c r="N20" s="436"/>
      <c r="O20" s="436"/>
      <c r="P20" s="436"/>
      <c r="Q20" s="436"/>
      <c r="R20" s="436"/>
      <c r="S20" s="436"/>
      <c r="T20" s="436"/>
      <c r="U20" s="436"/>
      <c r="V20" s="436"/>
      <c r="W20" s="436"/>
      <c r="X20" s="436"/>
      <c r="Y20" s="436"/>
      <c r="Z20" s="436"/>
      <c r="AA20" s="447"/>
      <c r="AB20" s="436"/>
      <c r="AC20" s="447"/>
      <c r="AD20" s="447"/>
      <c r="AE20" s="436"/>
      <c r="AF20" s="436"/>
      <c r="AG20" s="436"/>
      <c r="AH20" s="436"/>
      <c r="AI20" s="436"/>
      <c r="AJ20" s="436"/>
      <c r="AK20" s="436"/>
    </row>
    <row r="21" spans="1:37" s="49" customFormat="1" ht="17.25" customHeight="1">
      <c r="A21" s="436"/>
      <c r="B21" s="507"/>
      <c r="C21" s="436" t="s">
        <v>494</v>
      </c>
      <c r="D21" s="436"/>
      <c r="E21" s="436"/>
      <c r="F21" s="436"/>
      <c r="G21" s="436"/>
      <c r="H21" s="436"/>
      <c r="I21" s="436"/>
      <c r="J21" s="436"/>
      <c r="K21" s="436"/>
      <c r="L21" s="436"/>
      <c r="M21" s="436"/>
      <c r="N21" s="436"/>
      <c r="O21" s="436"/>
      <c r="P21" s="436"/>
      <c r="Q21" s="436"/>
      <c r="R21" s="436"/>
      <c r="S21" s="436"/>
      <c r="T21" s="436"/>
      <c r="U21" s="436"/>
      <c r="V21" s="436"/>
      <c r="W21" s="436"/>
      <c r="X21" s="436"/>
      <c r="Y21" s="436"/>
      <c r="Z21" s="436"/>
      <c r="AA21" s="447"/>
      <c r="AB21" s="436"/>
      <c r="AC21" s="447"/>
      <c r="AD21" s="447"/>
      <c r="AE21" s="436"/>
      <c r="AF21" s="436"/>
      <c r="AG21" s="436"/>
      <c r="AH21" s="436"/>
      <c r="AI21" s="436"/>
      <c r="AJ21" s="436"/>
      <c r="AK21" s="436"/>
    </row>
    <row r="22" spans="1:37" s="49" customFormat="1" ht="17.25" customHeight="1">
      <c r="A22" s="436"/>
      <c r="B22" s="436"/>
      <c r="C22" s="436"/>
      <c r="D22" s="436"/>
      <c r="E22" s="436"/>
      <c r="F22" s="436"/>
      <c r="G22" s="436"/>
      <c r="H22" s="436"/>
      <c r="I22" s="436"/>
      <c r="J22" s="436"/>
      <c r="K22" s="436"/>
      <c r="L22" s="436"/>
      <c r="M22" s="436"/>
      <c r="N22" s="436"/>
      <c r="O22" s="436"/>
      <c r="P22" s="436"/>
      <c r="Q22" s="436"/>
      <c r="R22" s="436"/>
      <c r="S22" s="436"/>
      <c r="T22" s="436"/>
      <c r="U22" s="436"/>
      <c r="V22" s="436"/>
      <c r="W22" s="436"/>
      <c r="X22" s="436"/>
      <c r="Y22" s="436"/>
      <c r="Z22" s="436"/>
      <c r="AA22" s="447"/>
      <c r="AB22" s="436"/>
      <c r="AC22" s="447"/>
      <c r="AD22" s="447"/>
      <c r="AE22" s="436"/>
      <c r="AF22" s="436"/>
      <c r="AG22" s="436"/>
      <c r="AH22" s="436"/>
      <c r="AI22" s="436"/>
      <c r="AJ22" s="436"/>
      <c r="AK22" s="436"/>
    </row>
    <row r="23" spans="1:37" s="49" customFormat="1" ht="17.25" customHeight="1">
      <c r="A23" s="436"/>
      <c r="B23" s="436"/>
      <c r="C23" s="436"/>
      <c r="D23" s="436"/>
      <c r="E23" s="436"/>
      <c r="F23" s="436"/>
      <c r="G23" s="436"/>
      <c r="H23" s="436"/>
      <c r="I23" s="436"/>
      <c r="J23" s="436"/>
      <c r="K23" s="436"/>
      <c r="L23" s="436"/>
      <c r="M23" s="436"/>
      <c r="N23" s="436"/>
      <c r="O23" s="436"/>
      <c r="P23" s="436"/>
      <c r="Q23" s="436"/>
      <c r="R23" s="436"/>
      <c r="S23" s="436"/>
      <c r="T23" s="436"/>
      <c r="U23" s="436"/>
      <c r="V23" s="436"/>
      <c r="W23" s="436"/>
      <c r="X23" s="436"/>
      <c r="Y23" s="436"/>
      <c r="Z23" s="436"/>
      <c r="AA23" s="447"/>
      <c r="AB23" s="447"/>
      <c r="AC23" s="447"/>
      <c r="AD23" s="447"/>
      <c r="AE23" s="436"/>
      <c r="AF23" s="436"/>
      <c r="AG23" s="436"/>
      <c r="AH23" s="436"/>
      <c r="AI23" s="436"/>
      <c r="AJ23" s="436"/>
      <c r="AK23" s="436"/>
    </row>
    <row r="24" spans="1:37" s="49" customFormat="1" ht="17.25" customHeight="1">
      <c r="A24" s="436"/>
      <c r="B24" s="436"/>
      <c r="C24" s="436"/>
      <c r="D24" s="436"/>
      <c r="E24" s="436"/>
      <c r="F24" s="436"/>
      <c r="G24" s="436"/>
      <c r="H24" s="436"/>
      <c r="I24" s="436"/>
      <c r="J24" s="436"/>
      <c r="K24" s="436"/>
      <c r="L24" s="436"/>
      <c r="M24" s="436"/>
      <c r="N24" s="436"/>
      <c r="O24" s="436"/>
      <c r="P24" s="436"/>
      <c r="Q24" s="436"/>
      <c r="R24" s="436"/>
      <c r="S24" s="436"/>
      <c r="T24" s="436"/>
      <c r="U24" s="436"/>
      <c r="V24" s="436"/>
      <c r="W24" s="436"/>
      <c r="X24" s="436"/>
      <c r="Y24" s="436"/>
      <c r="Z24" s="436"/>
      <c r="AA24" s="436"/>
      <c r="AB24" s="436"/>
      <c r="AC24" s="436"/>
      <c r="AD24" s="436"/>
      <c r="AE24" s="436"/>
      <c r="AF24" s="436"/>
      <c r="AG24" s="436"/>
      <c r="AH24" s="436"/>
      <c r="AI24" s="436"/>
      <c r="AJ24" s="436"/>
      <c r="AK24" s="436"/>
    </row>
    <row r="25" spans="1:37" s="49" customFormat="1" ht="17.25" customHeight="1">
      <c r="A25" s="436"/>
      <c r="B25" s="436"/>
      <c r="C25" s="436"/>
      <c r="D25" s="436"/>
      <c r="E25" s="436"/>
      <c r="F25" s="436"/>
      <c r="G25" s="436"/>
      <c r="H25" s="436"/>
      <c r="I25" s="436"/>
      <c r="J25" s="436"/>
      <c r="K25" s="436"/>
      <c r="L25" s="436"/>
      <c r="M25" s="436"/>
      <c r="N25" s="436"/>
      <c r="O25" s="436"/>
      <c r="P25" s="436"/>
      <c r="Q25" s="436"/>
      <c r="R25" s="436"/>
      <c r="S25" s="436"/>
      <c r="T25" s="436"/>
      <c r="U25" s="436"/>
      <c r="V25" s="436"/>
      <c r="W25" s="436"/>
      <c r="X25" s="436"/>
      <c r="Y25" s="436"/>
      <c r="Z25" s="436"/>
      <c r="AA25" s="447"/>
      <c r="AB25" s="436"/>
      <c r="AC25" s="447"/>
      <c r="AD25" s="447"/>
      <c r="AE25" s="436"/>
      <c r="AF25" s="436"/>
      <c r="AG25" s="436"/>
      <c r="AH25" s="436"/>
      <c r="AI25" s="436"/>
      <c r="AJ25" s="436"/>
      <c r="AK25" s="436"/>
    </row>
    <row r="26" spans="1:37" s="49" customFormat="1" ht="17.25" customHeight="1">
      <c r="A26" s="436"/>
      <c r="B26" s="436"/>
      <c r="C26" s="436"/>
      <c r="D26" s="436"/>
      <c r="E26" s="436"/>
      <c r="F26" s="592" t="s">
        <v>900</v>
      </c>
      <c r="G26" s="592"/>
      <c r="H26" s="592"/>
      <c r="I26" s="592"/>
      <c r="J26" s="592"/>
      <c r="K26" s="592"/>
      <c r="L26" s="592"/>
      <c r="M26" s="592"/>
      <c r="N26" s="592"/>
      <c r="O26" s="592"/>
      <c r="P26" s="592"/>
      <c r="Q26" s="592"/>
      <c r="R26" s="436"/>
      <c r="S26" s="436"/>
      <c r="T26" s="436"/>
      <c r="U26" s="436"/>
      <c r="V26" s="436"/>
      <c r="W26" s="436"/>
      <c r="X26" s="436"/>
      <c r="Y26" s="436"/>
      <c r="Z26" s="436"/>
      <c r="AA26" s="447"/>
      <c r="AB26" s="436"/>
      <c r="AC26" s="447"/>
      <c r="AD26" s="447"/>
      <c r="AE26" s="436"/>
      <c r="AF26" s="436"/>
      <c r="AG26" s="436"/>
      <c r="AH26" s="436"/>
      <c r="AI26" s="436"/>
      <c r="AJ26" s="436"/>
      <c r="AK26" s="436"/>
    </row>
    <row r="27" spans="1:37" s="49" customFormat="1" ht="17.25" customHeight="1">
      <c r="A27" s="436"/>
      <c r="B27" s="436"/>
      <c r="C27" s="436"/>
      <c r="D27" s="436"/>
      <c r="E27" s="436"/>
      <c r="F27" s="592"/>
      <c r="G27" s="592"/>
      <c r="H27" s="592"/>
      <c r="I27" s="592"/>
      <c r="J27" s="592"/>
      <c r="K27" s="592"/>
      <c r="L27" s="592"/>
      <c r="M27" s="592"/>
      <c r="N27" s="592"/>
      <c r="O27" s="592"/>
      <c r="P27" s="592"/>
      <c r="Q27" s="592"/>
      <c r="R27" s="436"/>
      <c r="S27" s="436"/>
      <c r="T27" s="436"/>
      <c r="U27" s="436"/>
      <c r="V27" s="436"/>
      <c r="W27" s="436"/>
      <c r="X27" s="436"/>
      <c r="Y27" s="436"/>
      <c r="Z27" s="436"/>
      <c r="AA27" s="446"/>
      <c r="AB27" s="436"/>
      <c r="AC27" s="446"/>
      <c r="AD27" s="446"/>
      <c r="AE27" s="436"/>
      <c r="AF27" s="436"/>
      <c r="AG27" s="436"/>
      <c r="AH27" s="436"/>
      <c r="AI27" s="436"/>
      <c r="AJ27" s="436"/>
      <c r="AK27" s="436"/>
    </row>
    <row r="28" spans="1:37" s="49" customFormat="1" ht="17.25" customHeight="1">
      <c r="A28" s="436"/>
      <c r="B28" s="436"/>
      <c r="C28" s="436"/>
      <c r="D28" s="436"/>
      <c r="E28" s="436"/>
      <c r="F28" s="592"/>
      <c r="G28" s="592"/>
      <c r="H28" s="592"/>
      <c r="I28" s="592"/>
      <c r="J28" s="592"/>
      <c r="K28" s="592"/>
      <c r="L28" s="592"/>
      <c r="M28" s="592"/>
      <c r="N28" s="592"/>
      <c r="O28" s="592"/>
      <c r="P28" s="592"/>
      <c r="Q28" s="592"/>
      <c r="R28" s="436"/>
      <c r="S28" s="436"/>
      <c r="T28" s="436"/>
      <c r="U28" s="436"/>
      <c r="V28" s="436"/>
      <c r="W28" s="436"/>
      <c r="X28" s="436"/>
      <c r="Y28" s="436"/>
      <c r="Z28" s="436"/>
      <c r="AA28" s="446"/>
      <c r="AB28" s="436"/>
      <c r="AC28" s="446"/>
      <c r="AD28" s="446"/>
      <c r="AE28" s="436"/>
      <c r="AF28" s="436"/>
      <c r="AG28" s="436"/>
      <c r="AH28" s="436"/>
      <c r="AI28" s="436"/>
      <c r="AJ28" s="436"/>
      <c r="AK28" s="436"/>
    </row>
    <row r="29" spans="1:37" s="49" customFormat="1" ht="17.25" customHeight="1">
      <c r="A29" s="436"/>
      <c r="B29" s="436"/>
      <c r="C29" s="436"/>
      <c r="D29" s="436"/>
      <c r="E29" s="436"/>
      <c r="F29" s="592"/>
      <c r="G29" s="592"/>
      <c r="H29" s="592"/>
      <c r="I29" s="592"/>
      <c r="J29" s="592"/>
      <c r="K29" s="592"/>
      <c r="L29" s="592"/>
      <c r="M29" s="592"/>
      <c r="N29" s="592"/>
      <c r="O29" s="592"/>
      <c r="P29" s="592"/>
      <c r="Q29" s="592"/>
      <c r="R29" s="436"/>
      <c r="S29" s="436"/>
      <c r="T29" s="436"/>
      <c r="U29" s="436"/>
      <c r="V29" s="436"/>
      <c r="W29" s="436"/>
      <c r="X29" s="436"/>
      <c r="Y29" s="436"/>
      <c r="Z29" s="436"/>
      <c r="AA29" s="447"/>
      <c r="AB29" s="436"/>
      <c r="AC29" s="447"/>
      <c r="AD29" s="446"/>
      <c r="AE29" s="436"/>
      <c r="AF29" s="436"/>
      <c r="AG29" s="436"/>
      <c r="AH29" s="436"/>
      <c r="AI29" s="436"/>
      <c r="AJ29" s="436"/>
      <c r="AK29" s="436"/>
    </row>
    <row r="30" spans="1:37" s="49" customFormat="1" ht="17.25" customHeight="1">
      <c r="A30" s="436"/>
      <c r="B30" s="436"/>
      <c r="C30" s="436"/>
      <c r="D30" s="436"/>
      <c r="E30" s="436"/>
      <c r="F30" s="592"/>
      <c r="G30" s="592"/>
      <c r="H30" s="592"/>
      <c r="I30" s="592"/>
      <c r="J30" s="592"/>
      <c r="K30" s="592"/>
      <c r="L30" s="592"/>
      <c r="M30" s="592"/>
      <c r="N30" s="592"/>
      <c r="O30" s="592"/>
      <c r="P30" s="592"/>
      <c r="Q30" s="592"/>
      <c r="R30" s="436"/>
      <c r="S30" s="436"/>
      <c r="T30" s="436"/>
      <c r="U30" s="436"/>
      <c r="V30" s="436"/>
      <c r="W30" s="436"/>
      <c r="X30" s="436"/>
      <c r="Y30" s="436"/>
      <c r="Z30" s="436"/>
      <c r="AA30" s="447"/>
      <c r="AB30" s="436"/>
      <c r="AC30" s="447"/>
      <c r="AD30" s="446"/>
      <c r="AE30" s="436"/>
      <c r="AF30" s="436"/>
      <c r="AG30" s="436"/>
      <c r="AH30" s="436"/>
      <c r="AI30" s="436"/>
      <c r="AJ30" s="436"/>
      <c r="AK30" s="436"/>
    </row>
    <row r="31" spans="1:37" s="49" customFormat="1" ht="17.25" customHeight="1">
      <c r="A31" s="436"/>
      <c r="B31" s="436"/>
      <c r="C31" s="436"/>
      <c r="D31" s="436"/>
      <c r="E31" s="436"/>
      <c r="F31" s="592"/>
      <c r="G31" s="592"/>
      <c r="H31" s="592"/>
      <c r="I31" s="592"/>
      <c r="J31" s="592"/>
      <c r="K31" s="592"/>
      <c r="L31" s="592"/>
      <c r="M31" s="592"/>
      <c r="N31" s="592"/>
      <c r="O31" s="592"/>
      <c r="P31" s="592"/>
      <c r="Q31" s="592"/>
      <c r="R31" s="436"/>
      <c r="S31" s="436"/>
      <c r="T31" s="436"/>
      <c r="U31" s="436"/>
      <c r="V31" s="436"/>
      <c r="W31" s="436"/>
      <c r="X31" s="436"/>
      <c r="Y31" s="436"/>
      <c r="Z31" s="436"/>
      <c r="AA31" s="436"/>
      <c r="AB31" s="436"/>
      <c r="AC31" s="436"/>
      <c r="AD31" s="436"/>
      <c r="AE31" s="436"/>
      <c r="AF31" s="436"/>
      <c r="AG31" s="436"/>
      <c r="AH31" s="436"/>
      <c r="AI31" s="436"/>
      <c r="AJ31" s="436"/>
      <c r="AK31" s="436"/>
    </row>
    <row r="32" spans="1:37" s="49" customFormat="1" ht="17.25" customHeight="1">
      <c r="A32" s="436"/>
      <c r="B32" s="436"/>
      <c r="C32" s="436"/>
      <c r="D32" s="436"/>
      <c r="E32" s="436"/>
      <c r="F32" s="592"/>
      <c r="G32" s="592"/>
      <c r="H32" s="592"/>
      <c r="I32" s="592"/>
      <c r="J32" s="592"/>
      <c r="K32" s="592"/>
      <c r="L32" s="592"/>
      <c r="M32" s="592"/>
      <c r="N32" s="592"/>
      <c r="O32" s="592"/>
      <c r="P32" s="592"/>
      <c r="Q32" s="592"/>
      <c r="R32" s="436"/>
      <c r="S32" s="436"/>
      <c r="T32" s="436"/>
      <c r="U32" s="436"/>
      <c r="V32" s="436"/>
      <c r="W32" s="436"/>
      <c r="X32" s="436"/>
      <c r="Y32" s="436"/>
      <c r="Z32" s="436"/>
      <c r="AA32" s="436"/>
      <c r="AB32" s="436"/>
      <c r="AC32" s="436"/>
      <c r="AD32" s="436"/>
      <c r="AE32" s="436"/>
      <c r="AF32" s="436"/>
      <c r="AG32" s="436"/>
      <c r="AH32" s="436"/>
      <c r="AI32" s="436"/>
      <c r="AJ32" s="436"/>
      <c r="AK32" s="436"/>
    </row>
    <row r="33" spans="1:37" s="49" customFormat="1" ht="17.25" customHeight="1">
      <c r="A33" s="436"/>
      <c r="B33" s="436"/>
      <c r="C33" s="436"/>
      <c r="D33" s="436"/>
      <c r="E33" s="436"/>
      <c r="F33" s="592"/>
      <c r="G33" s="592"/>
      <c r="H33" s="592"/>
      <c r="I33" s="592"/>
      <c r="J33" s="592"/>
      <c r="K33" s="592"/>
      <c r="L33" s="592"/>
      <c r="M33" s="592"/>
      <c r="N33" s="592"/>
      <c r="O33" s="592"/>
      <c r="P33" s="592"/>
      <c r="Q33" s="592"/>
      <c r="R33" s="436"/>
      <c r="S33" s="436"/>
      <c r="T33" s="436"/>
      <c r="U33" s="436"/>
      <c r="V33" s="436"/>
      <c r="W33" s="436"/>
      <c r="X33" s="436"/>
      <c r="Y33" s="436"/>
      <c r="Z33" s="436"/>
      <c r="AA33" s="436"/>
      <c r="AB33" s="436"/>
      <c r="AC33" s="436"/>
      <c r="AD33" s="436"/>
      <c r="AE33" s="436"/>
      <c r="AF33" s="436"/>
      <c r="AG33" s="436"/>
      <c r="AH33" s="436"/>
      <c r="AI33" s="436"/>
      <c r="AJ33" s="436"/>
      <c r="AK33" s="436"/>
    </row>
    <row r="34" spans="1:37" s="49" customFormat="1" ht="17.25" customHeight="1">
      <c r="A34" s="436"/>
      <c r="B34" s="436"/>
      <c r="C34" s="436"/>
      <c r="D34" s="436"/>
      <c r="E34" s="436"/>
      <c r="F34" s="592"/>
      <c r="G34" s="592"/>
      <c r="H34" s="592"/>
      <c r="I34" s="592"/>
      <c r="J34" s="592"/>
      <c r="K34" s="592"/>
      <c r="L34" s="592"/>
      <c r="M34" s="592"/>
      <c r="N34" s="592"/>
      <c r="O34" s="592"/>
      <c r="P34" s="592"/>
      <c r="Q34" s="592"/>
      <c r="R34" s="436"/>
      <c r="S34" s="436"/>
      <c r="T34" s="436"/>
      <c r="U34" s="436"/>
      <c r="V34" s="436"/>
      <c r="W34" s="436"/>
      <c r="X34" s="436"/>
      <c r="Y34" s="436"/>
      <c r="Z34" s="436"/>
      <c r="AA34" s="436"/>
      <c r="AB34" s="436"/>
      <c r="AC34" s="436"/>
      <c r="AD34" s="436"/>
      <c r="AE34" s="436"/>
      <c r="AF34" s="436"/>
      <c r="AG34" s="436"/>
      <c r="AH34" s="436"/>
      <c r="AI34" s="436"/>
      <c r="AJ34" s="436"/>
      <c r="AK34" s="436"/>
    </row>
    <row r="35" spans="1:37" s="49" customFormat="1" ht="17.25" customHeight="1">
      <c r="A35" s="436"/>
      <c r="B35" s="436"/>
      <c r="C35" s="436"/>
      <c r="D35" s="436"/>
      <c r="E35" s="436"/>
      <c r="F35" s="592"/>
      <c r="G35" s="592"/>
      <c r="H35" s="592"/>
      <c r="I35" s="592"/>
      <c r="J35" s="592"/>
      <c r="K35" s="592"/>
      <c r="L35" s="592"/>
      <c r="M35" s="592"/>
      <c r="N35" s="592"/>
      <c r="O35" s="592"/>
      <c r="P35" s="592"/>
      <c r="Q35" s="592"/>
      <c r="R35" s="436"/>
      <c r="S35" s="436"/>
      <c r="T35" s="436"/>
      <c r="U35" s="436"/>
      <c r="V35" s="436"/>
      <c r="W35" s="436"/>
      <c r="X35" s="436"/>
      <c r="Y35" s="436"/>
      <c r="Z35" s="436"/>
      <c r="AA35" s="436"/>
      <c r="AB35" s="436"/>
      <c r="AC35" s="436"/>
      <c r="AD35" s="436"/>
      <c r="AE35" s="436"/>
      <c r="AF35" s="436"/>
      <c r="AG35" s="436"/>
      <c r="AH35" s="436"/>
      <c r="AI35" s="436"/>
      <c r="AJ35" s="436"/>
      <c r="AK35" s="436"/>
    </row>
    <row r="36" spans="1:37" s="49" customFormat="1" ht="210" customHeight="1">
      <c r="A36" s="436"/>
      <c r="B36" s="436"/>
      <c r="C36" s="436"/>
      <c r="D36" s="436"/>
      <c r="E36" s="436"/>
      <c r="F36" s="592"/>
      <c r="G36" s="592"/>
      <c r="H36" s="592"/>
      <c r="I36" s="592"/>
      <c r="J36" s="592"/>
      <c r="K36" s="592"/>
      <c r="L36" s="592"/>
      <c r="M36" s="592"/>
      <c r="N36" s="592"/>
      <c r="O36" s="592"/>
      <c r="P36" s="592"/>
      <c r="Q36" s="592"/>
      <c r="R36" s="436"/>
      <c r="S36" s="436"/>
      <c r="T36" s="436"/>
      <c r="U36" s="436"/>
      <c r="V36" s="436"/>
      <c r="W36" s="436"/>
      <c r="X36" s="436"/>
      <c r="Y36" s="436"/>
      <c r="Z36" s="436"/>
      <c r="AA36" s="436"/>
      <c r="AB36" s="436"/>
      <c r="AC36" s="436"/>
      <c r="AD36" s="436"/>
      <c r="AE36" s="436"/>
      <c r="AF36" s="436"/>
      <c r="AG36" s="436"/>
      <c r="AH36" s="436"/>
      <c r="AI36" s="436"/>
      <c r="AJ36" s="436"/>
      <c r="AK36" s="436"/>
    </row>
    <row r="37" spans="1:37" s="49" customFormat="1" ht="107.25" customHeight="1">
      <c r="A37" s="436"/>
      <c r="B37" s="436"/>
      <c r="C37" s="436"/>
      <c r="D37" s="436"/>
      <c r="E37" s="436"/>
      <c r="F37" s="592"/>
      <c r="G37" s="592"/>
      <c r="H37" s="592"/>
      <c r="I37" s="592"/>
      <c r="J37" s="592"/>
      <c r="K37" s="592"/>
      <c r="L37" s="592"/>
      <c r="M37" s="592"/>
      <c r="N37" s="592"/>
      <c r="O37" s="592"/>
      <c r="P37" s="592"/>
      <c r="Q37" s="592"/>
      <c r="R37" s="436"/>
      <c r="S37" s="436"/>
      <c r="T37" s="436"/>
      <c r="U37" s="436"/>
      <c r="V37" s="436"/>
      <c r="W37" s="436"/>
      <c r="X37" s="436"/>
      <c r="Y37" s="436"/>
      <c r="Z37" s="436"/>
      <c r="AA37" s="436"/>
      <c r="AB37" s="436"/>
      <c r="AC37" s="436"/>
      <c r="AD37" s="436"/>
      <c r="AE37" s="436"/>
      <c r="AF37" s="436"/>
      <c r="AG37" s="436"/>
      <c r="AH37" s="436"/>
      <c r="AI37" s="436"/>
      <c r="AJ37" s="436"/>
      <c r="AK37" s="436"/>
    </row>
    <row r="38" spans="1:37" s="49" customFormat="1" ht="33.450000000000003" customHeight="1">
      <c r="A38" s="436"/>
      <c r="B38" s="436"/>
      <c r="C38" s="436"/>
      <c r="D38" s="436"/>
      <c r="E38" s="436"/>
      <c r="F38" s="592"/>
      <c r="G38" s="592"/>
      <c r="H38" s="592"/>
      <c r="I38" s="592"/>
      <c r="J38" s="592"/>
      <c r="K38" s="592"/>
      <c r="L38" s="592"/>
      <c r="M38" s="592"/>
      <c r="N38" s="592"/>
      <c r="O38" s="592"/>
      <c r="P38" s="592"/>
      <c r="Q38" s="592"/>
      <c r="R38" s="436"/>
      <c r="S38" s="436"/>
      <c r="T38" s="436"/>
      <c r="U38" s="436"/>
      <c r="V38" s="436"/>
      <c r="W38" s="436"/>
      <c r="X38" s="436"/>
      <c r="Y38" s="436"/>
      <c r="Z38" s="436"/>
      <c r="AA38" s="436"/>
      <c r="AB38" s="436"/>
      <c r="AC38" s="436"/>
      <c r="AD38" s="436"/>
      <c r="AE38" s="436"/>
      <c r="AF38" s="436"/>
      <c r="AG38" s="436"/>
      <c r="AH38" s="436"/>
      <c r="AI38" s="436"/>
      <c r="AJ38" s="436"/>
      <c r="AK38" s="436"/>
    </row>
    <row r="39" spans="1:37" s="49" customFormat="1">
      <c r="A39" s="436"/>
      <c r="B39" s="436"/>
      <c r="C39" s="436"/>
      <c r="D39" s="436"/>
      <c r="E39" s="436"/>
      <c r="G39" s="442"/>
      <c r="H39" s="442"/>
      <c r="I39" s="442"/>
      <c r="J39" s="442"/>
      <c r="K39" s="442"/>
      <c r="L39" s="442"/>
      <c r="M39" s="442"/>
      <c r="N39" s="442"/>
      <c r="O39" s="442"/>
      <c r="P39" s="442"/>
      <c r="Q39" s="442"/>
      <c r="R39" s="436"/>
      <c r="S39" s="436"/>
      <c r="T39" s="436"/>
      <c r="U39" s="436"/>
      <c r="V39" s="436"/>
      <c r="W39" s="436"/>
      <c r="X39" s="436"/>
      <c r="Y39" s="436"/>
      <c r="Z39" s="436"/>
      <c r="AA39" s="436"/>
      <c r="AB39" s="436"/>
      <c r="AC39" s="436"/>
      <c r="AD39" s="436"/>
      <c r="AE39" s="436"/>
      <c r="AF39" s="436"/>
      <c r="AG39" s="436"/>
      <c r="AH39" s="436"/>
      <c r="AI39" s="436"/>
      <c r="AJ39" s="436"/>
      <c r="AK39" s="436"/>
    </row>
    <row r="40" spans="1:37" s="49" customFormat="1">
      <c r="A40" s="436"/>
      <c r="B40" s="436"/>
      <c r="C40" s="436"/>
      <c r="D40" s="436"/>
      <c r="E40" s="436"/>
      <c r="F40" s="443" t="s">
        <v>845</v>
      </c>
      <c r="G40" s="442"/>
      <c r="H40" s="442"/>
      <c r="I40" s="442"/>
      <c r="J40" s="442"/>
      <c r="K40" s="442"/>
      <c r="L40" s="442"/>
      <c r="M40" s="442"/>
      <c r="N40" s="442"/>
      <c r="O40" s="442"/>
      <c r="P40" s="442"/>
      <c r="Q40" s="442"/>
      <c r="R40" s="436"/>
      <c r="S40" s="436"/>
      <c r="T40" s="436"/>
      <c r="U40" s="436"/>
      <c r="V40" s="436"/>
      <c r="W40" s="436"/>
      <c r="X40" s="436"/>
      <c r="Y40" s="436"/>
      <c r="Z40" s="436"/>
      <c r="AA40" s="436"/>
      <c r="AB40" s="436"/>
      <c r="AC40" s="436"/>
      <c r="AD40" s="436"/>
      <c r="AE40" s="436"/>
      <c r="AF40" s="436"/>
      <c r="AG40" s="436"/>
      <c r="AH40" s="436"/>
      <c r="AI40" s="436"/>
      <c r="AJ40" s="436"/>
      <c r="AK40" s="436"/>
    </row>
    <row r="41" spans="1:37" s="49" customFormat="1">
      <c r="A41" s="436"/>
      <c r="B41" s="436"/>
      <c r="C41" s="436"/>
      <c r="D41" s="436"/>
      <c r="E41" s="436"/>
      <c r="F41" s="443" t="s">
        <v>810</v>
      </c>
      <c r="G41" s="442"/>
      <c r="H41" s="442"/>
      <c r="I41" s="442"/>
      <c r="J41" s="442"/>
      <c r="K41" s="442"/>
      <c r="L41" s="442"/>
      <c r="M41" s="442"/>
      <c r="N41" s="442"/>
      <c r="O41" s="442"/>
      <c r="P41" s="442"/>
      <c r="Q41" s="442"/>
      <c r="R41" s="436"/>
      <c r="S41" s="436"/>
      <c r="T41" s="436"/>
      <c r="U41" s="436"/>
      <c r="V41" s="436"/>
      <c r="W41" s="436"/>
      <c r="X41" s="436"/>
      <c r="Y41" s="436"/>
      <c r="Z41" s="436"/>
      <c r="AA41" s="436"/>
      <c r="AB41" s="436"/>
      <c r="AC41" s="436"/>
      <c r="AD41" s="436"/>
      <c r="AE41" s="436"/>
      <c r="AF41" s="436"/>
      <c r="AG41" s="436"/>
      <c r="AH41" s="436"/>
      <c r="AI41" s="436"/>
      <c r="AJ41" s="436"/>
      <c r="AK41" s="436"/>
    </row>
    <row r="42" spans="1:37" s="49" customFormat="1">
      <c r="A42" s="436"/>
      <c r="B42" s="436"/>
      <c r="C42" s="436"/>
      <c r="D42" s="436"/>
      <c r="E42" s="436"/>
      <c r="F42" s="443" t="s">
        <v>811</v>
      </c>
      <c r="G42" s="442"/>
      <c r="H42" s="442"/>
      <c r="I42" s="442"/>
      <c r="J42" s="442"/>
      <c r="K42" s="442"/>
      <c r="L42" s="442"/>
      <c r="M42" s="442"/>
      <c r="N42" s="442"/>
      <c r="O42" s="442"/>
      <c r="P42" s="442"/>
      <c r="Q42" s="442"/>
      <c r="R42" s="436"/>
      <c r="S42" s="436"/>
      <c r="T42" s="436"/>
      <c r="U42" s="436"/>
      <c r="V42" s="436"/>
      <c r="W42" s="436"/>
      <c r="X42" s="436"/>
      <c r="Y42" s="436"/>
      <c r="Z42" s="436"/>
      <c r="AA42" s="436"/>
      <c r="AB42" s="436"/>
      <c r="AC42" s="436"/>
      <c r="AD42" s="436"/>
      <c r="AE42" s="436"/>
      <c r="AF42" s="436"/>
      <c r="AG42" s="436"/>
      <c r="AH42" s="436"/>
      <c r="AI42" s="436"/>
      <c r="AJ42" s="436"/>
      <c r="AK42" s="436"/>
    </row>
    <row r="43" spans="1:37" s="49" customFormat="1">
      <c r="A43" s="436"/>
      <c r="B43" s="436"/>
      <c r="C43" s="436"/>
      <c r="D43" s="436"/>
      <c r="E43" s="436"/>
      <c r="F43" s="443" t="s">
        <v>812</v>
      </c>
      <c r="G43" s="442"/>
      <c r="H43" s="442"/>
      <c r="I43" s="442"/>
      <c r="J43" s="442"/>
      <c r="K43" s="442"/>
      <c r="L43" s="442"/>
      <c r="M43" s="442"/>
      <c r="N43" s="442"/>
      <c r="O43" s="442"/>
      <c r="P43" s="442"/>
      <c r="Q43" s="442"/>
      <c r="R43" s="436"/>
      <c r="S43" s="436"/>
      <c r="T43" s="436"/>
      <c r="U43" s="436"/>
      <c r="V43" s="436"/>
      <c r="W43" s="436"/>
      <c r="X43" s="436"/>
      <c r="Y43" s="436"/>
      <c r="Z43" s="436"/>
      <c r="AA43" s="436"/>
      <c r="AB43" s="436"/>
      <c r="AC43" s="436"/>
      <c r="AD43" s="436"/>
      <c r="AE43" s="436"/>
      <c r="AF43" s="436"/>
      <c r="AG43" s="436"/>
      <c r="AH43" s="436"/>
      <c r="AI43" s="436"/>
      <c r="AJ43" s="436"/>
      <c r="AK43" s="436"/>
    </row>
    <row r="44" spans="1:37" s="49" customFormat="1">
      <c r="A44" s="436"/>
      <c r="B44" s="436"/>
      <c r="C44" s="436"/>
      <c r="D44" s="436"/>
      <c r="E44" s="436"/>
      <c r="F44" s="443" t="s">
        <v>787</v>
      </c>
      <c r="G44" s="442"/>
      <c r="H44" s="442"/>
      <c r="I44" s="442"/>
      <c r="J44" s="442"/>
      <c r="K44" s="442"/>
      <c r="L44" s="442"/>
      <c r="M44" s="442"/>
      <c r="N44" s="442"/>
      <c r="O44" s="442"/>
      <c r="P44" s="442"/>
      <c r="Q44" s="442"/>
      <c r="R44" s="436"/>
      <c r="S44" s="436"/>
      <c r="T44" s="436"/>
      <c r="U44" s="436"/>
      <c r="V44" s="436"/>
      <c r="W44" s="436"/>
      <c r="X44" s="436"/>
      <c r="Y44" s="436"/>
      <c r="Z44" s="436"/>
      <c r="AA44" s="436"/>
      <c r="AB44" s="436"/>
      <c r="AC44" s="436"/>
      <c r="AD44" s="436"/>
      <c r="AE44" s="436"/>
      <c r="AF44" s="436"/>
      <c r="AG44" s="436"/>
      <c r="AH44" s="436"/>
      <c r="AI44" s="436"/>
      <c r="AJ44" s="436"/>
      <c r="AK44" s="436"/>
    </row>
    <row r="45" spans="1:37" s="49" customFormat="1">
      <c r="A45" s="436"/>
      <c r="B45" s="436"/>
      <c r="C45" s="436"/>
      <c r="D45" s="436"/>
      <c r="E45" s="436"/>
      <c r="F45" s="443" t="s">
        <v>786</v>
      </c>
      <c r="G45" s="442"/>
      <c r="H45" s="442"/>
      <c r="I45" s="442"/>
      <c r="J45" s="442"/>
      <c r="K45" s="442"/>
      <c r="L45" s="442"/>
      <c r="M45" s="442"/>
      <c r="N45" s="442"/>
      <c r="O45" s="442"/>
      <c r="P45" s="442"/>
      <c r="Q45" s="442"/>
      <c r="R45" s="436"/>
      <c r="S45" s="436"/>
      <c r="T45" s="436"/>
      <c r="U45" s="436"/>
      <c r="V45" s="436"/>
      <c r="W45" s="436"/>
      <c r="X45" s="436"/>
      <c r="Y45" s="436"/>
      <c r="Z45" s="436"/>
      <c r="AA45" s="436"/>
      <c r="AB45" s="436"/>
      <c r="AC45" s="436"/>
      <c r="AD45" s="436"/>
      <c r="AE45" s="436"/>
      <c r="AF45" s="436"/>
      <c r="AG45" s="436"/>
      <c r="AH45" s="436"/>
      <c r="AI45" s="436"/>
      <c r="AJ45" s="436"/>
      <c r="AK45" s="436"/>
    </row>
    <row r="46" spans="1:37" s="49" customFormat="1">
      <c r="A46" s="436"/>
      <c r="B46" s="436"/>
      <c r="C46" s="436"/>
      <c r="D46" s="436"/>
      <c r="E46" s="436"/>
      <c r="F46" s="443" t="s">
        <v>785</v>
      </c>
      <c r="G46" s="442"/>
      <c r="H46" s="442"/>
      <c r="I46" s="442"/>
      <c r="J46" s="442"/>
      <c r="K46" s="442"/>
      <c r="L46" s="442"/>
      <c r="M46" s="442"/>
      <c r="N46" s="442"/>
      <c r="O46" s="442"/>
      <c r="P46" s="442"/>
      <c r="Q46" s="442"/>
      <c r="R46" s="436"/>
      <c r="S46" s="436"/>
      <c r="T46" s="436"/>
      <c r="U46" s="436"/>
      <c r="V46" s="436"/>
      <c r="W46" s="436"/>
      <c r="X46" s="436"/>
      <c r="Y46" s="436"/>
      <c r="Z46" s="436"/>
      <c r="AA46" s="436"/>
      <c r="AB46" s="436"/>
      <c r="AC46" s="436"/>
      <c r="AD46" s="436"/>
      <c r="AE46" s="436"/>
      <c r="AF46" s="436"/>
      <c r="AG46" s="436"/>
      <c r="AH46" s="436"/>
      <c r="AI46" s="436"/>
      <c r="AJ46" s="436"/>
      <c r="AK46" s="436"/>
    </row>
    <row r="47" spans="1:37" s="49" customFormat="1">
      <c r="A47" s="436"/>
      <c r="B47" s="436"/>
      <c r="C47" s="436"/>
      <c r="D47" s="436"/>
      <c r="E47" s="436"/>
      <c r="F47" s="443" t="s">
        <v>783</v>
      </c>
      <c r="G47" s="442"/>
      <c r="H47" s="442"/>
      <c r="I47" s="442"/>
      <c r="J47" s="442"/>
      <c r="K47" s="442"/>
      <c r="L47" s="442"/>
      <c r="M47" s="442"/>
      <c r="N47" s="442"/>
      <c r="O47" s="442"/>
      <c r="P47" s="442"/>
      <c r="Q47" s="442"/>
      <c r="R47" s="436"/>
      <c r="S47" s="436"/>
      <c r="T47" s="436"/>
      <c r="U47" s="436"/>
      <c r="V47" s="436"/>
      <c r="W47" s="436"/>
      <c r="X47" s="436"/>
      <c r="Y47" s="436"/>
      <c r="Z47" s="436"/>
      <c r="AA47" s="436"/>
      <c r="AB47" s="436"/>
      <c r="AC47" s="436"/>
      <c r="AD47" s="436"/>
      <c r="AE47" s="436"/>
      <c r="AF47" s="436"/>
      <c r="AG47" s="436"/>
      <c r="AH47" s="436"/>
      <c r="AI47" s="436"/>
      <c r="AJ47" s="436"/>
      <c r="AK47" s="436"/>
    </row>
    <row r="48" spans="1:37" s="49" customFormat="1">
      <c r="A48" s="436"/>
      <c r="B48" s="436"/>
      <c r="C48" s="436"/>
      <c r="D48" s="436"/>
      <c r="E48" s="436"/>
      <c r="F48" s="443" t="s">
        <v>775</v>
      </c>
      <c r="G48" s="442"/>
      <c r="H48" s="442"/>
      <c r="I48" s="442"/>
      <c r="J48" s="442"/>
      <c r="K48" s="442"/>
      <c r="L48" s="442"/>
      <c r="M48" s="442"/>
      <c r="N48" s="442"/>
      <c r="O48" s="442"/>
      <c r="P48" s="442"/>
      <c r="Q48" s="442"/>
      <c r="R48" s="436"/>
      <c r="S48" s="436"/>
      <c r="T48" s="436"/>
      <c r="U48" s="436"/>
      <c r="V48" s="436"/>
      <c r="W48" s="436"/>
      <c r="X48" s="436"/>
      <c r="Y48" s="436"/>
      <c r="Z48" s="436"/>
      <c r="AA48" s="436"/>
      <c r="AB48" s="436"/>
      <c r="AC48" s="436"/>
      <c r="AD48" s="436"/>
      <c r="AE48" s="436"/>
      <c r="AF48" s="436"/>
      <c r="AG48" s="436"/>
      <c r="AH48" s="436"/>
      <c r="AI48" s="436"/>
      <c r="AJ48" s="436"/>
      <c r="AK48" s="436"/>
    </row>
    <row r="49" spans="1:37" s="49" customFormat="1">
      <c r="A49" s="436"/>
      <c r="B49" s="436"/>
      <c r="C49" s="436"/>
      <c r="D49" s="436"/>
      <c r="E49" s="436"/>
      <c r="F49" s="443" t="s">
        <v>776</v>
      </c>
      <c r="G49" s="442"/>
      <c r="H49" s="444"/>
      <c r="I49" s="442"/>
      <c r="J49" s="442"/>
      <c r="K49" s="442"/>
      <c r="L49" s="442"/>
      <c r="M49" s="442"/>
      <c r="N49" s="442"/>
      <c r="O49" s="442"/>
      <c r="P49" s="442"/>
      <c r="Q49" s="442"/>
      <c r="R49" s="436"/>
      <c r="S49" s="436"/>
      <c r="T49" s="436"/>
      <c r="U49" s="436"/>
      <c r="V49" s="436"/>
      <c r="W49" s="436"/>
      <c r="X49" s="436"/>
      <c r="Y49" s="436"/>
      <c r="Z49" s="436"/>
      <c r="AA49" s="436"/>
      <c r="AB49" s="436"/>
      <c r="AC49" s="436"/>
      <c r="AD49" s="436"/>
      <c r="AE49" s="436"/>
      <c r="AF49" s="436"/>
      <c r="AG49" s="436"/>
      <c r="AH49" s="436"/>
      <c r="AI49" s="436"/>
      <c r="AJ49" s="436"/>
      <c r="AK49" s="436"/>
    </row>
    <row r="50" spans="1:37" s="49" customFormat="1">
      <c r="A50" s="436"/>
      <c r="B50" s="436"/>
      <c r="C50" s="436"/>
      <c r="D50" s="436"/>
      <c r="E50" s="436"/>
      <c r="F50" s="443" t="s">
        <v>781</v>
      </c>
      <c r="G50" s="442"/>
      <c r="H50" s="444"/>
      <c r="I50" s="442"/>
      <c r="J50" s="442"/>
      <c r="K50" s="442"/>
      <c r="L50" s="442"/>
      <c r="M50" s="442"/>
      <c r="N50" s="442"/>
      <c r="O50" s="442"/>
      <c r="P50" s="442"/>
      <c r="Q50" s="442"/>
      <c r="R50" s="436"/>
      <c r="S50" s="436"/>
      <c r="T50" s="436"/>
      <c r="U50" s="436"/>
      <c r="V50" s="436"/>
      <c r="W50" s="436"/>
      <c r="X50" s="436"/>
      <c r="Y50" s="436"/>
      <c r="Z50" s="436"/>
      <c r="AA50" s="436"/>
      <c r="AB50" s="436"/>
      <c r="AC50" s="436"/>
      <c r="AD50" s="436"/>
      <c r="AE50" s="436"/>
      <c r="AF50" s="436"/>
      <c r="AG50" s="436"/>
      <c r="AH50" s="436"/>
      <c r="AI50" s="436"/>
      <c r="AJ50" s="436"/>
      <c r="AK50" s="436"/>
    </row>
    <row r="51" spans="1:37" s="49" customFormat="1">
      <c r="A51" s="436"/>
      <c r="B51" s="436"/>
      <c r="C51" s="436"/>
      <c r="D51" s="436"/>
      <c r="E51" s="436"/>
      <c r="G51" s="442"/>
      <c r="H51" s="442"/>
      <c r="I51" s="442"/>
      <c r="J51" s="442"/>
      <c r="K51" s="442"/>
      <c r="L51" s="442"/>
      <c r="M51" s="442"/>
      <c r="N51" s="442"/>
      <c r="O51" s="442"/>
      <c r="P51" s="442"/>
      <c r="Q51" s="442"/>
      <c r="R51" s="436"/>
      <c r="S51" s="436"/>
      <c r="T51" s="436"/>
      <c r="U51" s="436"/>
      <c r="V51" s="436"/>
      <c r="W51" s="436"/>
      <c r="X51" s="436"/>
      <c r="Y51" s="436"/>
      <c r="Z51" s="436"/>
      <c r="AA51" s="436"/>
      <c r="AB51" s="436"/>
      <c r="AC51" s="436"/>
      <c r="AD51" s="436"/>
      <c r="AE51" s="436"/>
      <c r="AF51" s="436"/>
      <c r="AG51" s="436"/>
      <c r="AH51" s="436"/>
      <c r="AI51" s="436"/>
      <c r="AJ51" s="436"/>
      <c r="AK51" s="436"/>
    </row>
    <row r="52" spans="1:37" s="49" customFormat="1" ht="17.25" customHeight="1">
      <c r="A52" s="436"/>
      <c r="B52" s="436"/>
      <c r="C52" s="436"/>
      <c r="D52" s="436"/>
      <c r="E52" s="436"/>
      <c r="G52" s="436"/>
      <c r="H52" s="436"/>
      <c r="I52" s="436"/>
      <c r="J52" s="436"/>
      <c r="K52" s="436"/>
      <c r="L52" s="436"/>
      <c r="M52" s="436"/>
      <c r="N52" s="436"/>
      <c r="O52" s="436"/>
      <c r="P52" s="436"/>
      <c r="Q52" s="436"/>
      <c r="R52" s="436"/>
      <c r="S52" s="436"/>
      <c r="T52" s="436"/>
      <c r="U52" s="436"/>
      <c r="V52" s="436"/>
      <c r="W52" s="436"/>
      <c r="X52" s="436"/>
      <c r="Y52" s="436"/>
      <c r="Z52" s="436"/>
      <c r="AA52" s="436"/>
      <c r="AB52" s="436"/>
      <c r="AC52" s="436"/>
      <c r="AD52" s="436"/>
      <c r="AE52" s="436"/>
      <c r="AF52" s="436"/>
      <c r="AG52" s="436"/>
      <c r="AH52" s="436"/>
      <c r="AI52" s="436"/>
      <c r="AJ52" s="436"/>
      <c r="AK52" s="436"/>
    </row>
    <row r="53" spans="1:37" s="49" customFormat="1" ht="17.25" customHeight="1">
      <c r="A53" s="436"/>
      <c r="B53" s="436"/>
      <c r="C53" s="436"/>
      <c r="D53" s="436"/>
      <c r="E53" s="436"/>
      <c r="G53" s="436"/>
      <c r="H53" s="436"/>
      <c r="I53" s="436"/>
      <c r="J53" s="436"/>
      <c r="K53" s="436"/>
      <c r="L53" s="436"/>
      <c r="M53" s="436"/>
      <c r="N53" s="436"/>
      <c r="O53" s="436"/>
      <c r="P53" s="436"/>
      <c r="Q53" s="436"/>
      <c r="R53" s="436"/>
      <c r="S53" s="436"/>
      <c r="T53" s="436"/>
      <c r="U53" s="436"/>
      <c r="V53" s="436"/>
      <c r="W53" s="436"/>
      <c r="X53" s="436"/>
      <c r="Y53" s="436"/>
      <c r="Z53" s="436"/>
      <c r="AA53" s="436"/>
      <c r="AB53" s="436"/>
      <c r="AC53" s="436"/>
      <c r="AD53" s="436"/>
      <c r="AE53" s="436"/>
      <c r="AF53" s="436"/>
      <c r="AG53" s="436"/>
      <c r="AH53" s="436"/>
      <c r="AI53" s="436"/>
      <c r="AJ53" s="436"/>
      <c r="AK53" s="436"/>
    </row>
    <row r="54" spans="1:37" s="49" customFormat="1" ht="17.25" customHeight="1">
      <c r="A54" s="436"/>
      <c r="B54" s="436"/>
      <c r="C54" s="436"/>
      <c r="D54" s="436"/>
      <c r="E54" s="436"/>
      <c r="G54" s="436"/>
      <c r="H54" s="436"/>
      <c r="I54" s="436"/>
      <c r="J54" s="436"/>
      <c r="K54" s="436"/>
      <c r="L54" s="436"/>
      <c r="M54" s="436"/>
      <c r="N54" s="436"/>
      <c r="O54" s="436"/>
      <c r="P54" s="436"/>
      <c r="Q54" s="436"/>
      <c r="R54" s="436"/>
      <c r="S54" s="436"/>
      <c r="T54" s="436"/>
      <c r="U54" s="436"/>
      <c r="V54" s="436"/>
      <c r="W54" s="436"/>
      <c r="X54" s="436"/>
      <c r="Y54" s="436"/>
      <c r="Z54" s="436"/>
      <c r="AA54" s="436"/>
      <c r="AB54" s="436"/>
      <c r="AC54" s="436"/>
      <c r="AD54" s="436"/>
      <c r="AE54" s="436"/>
      <c r="AF54" s="436"/>
      <c r="AG54" s="436"/>
      <c r="AH54" s="436"/>
      <c r="AI54" s="436"/>
      <c r="AJ54" s="436"/>
      <c r="AK54" s="436"/>
    </row>
    <row r="55" spans="1:37" s="49" customFormat="1" ht="17.25" customHeight="1">
      <c r="A55" s="436"/>
      <c r="B55" s="436"/>
      <c r="C55" s="436"/>
      <c r="D55" s="436"/>
      <c r="E55" s="436"/>
      <c r="G55" s="436"/>
      <c r="H55" s="436"/>
      <c r="I55" s="436"/>
      <c r="J55" s="436"/>
      <c r="K55" s="436"/>
      <c r="L55" s="436"/>
      <c r="M55" s="436"/>
      <c r="N55" s="436"/>
      <c r="O55" s="436"/>
      <c r="P55" s="436"/>
      <c r="Q55" s="436"/>
      <c r="R55" s="436"/>
      <c r="S55" s="436"/>
      <c r="T55" s="436"/>
      <c r="U55" s="436"/>
      <c r="V55" s="436"/>
      <c r="W55" s="436"/>
      <c r="X55" s="436"/>
      <c r="Y55" s="436"/>
      <c r="Z55" s="436"/>
      <c r="AA55" s="436"/>
      <c r="AB55" s="436"/>
      <c r="AC55" s="436"/>
      <c r="AD55" s="436"/>
      <c r="AE55" s="436"/>
      <c r="AF55" s="436"/>
      <c r="AG55" s="436"/>
      <c r="AH55" s="436"/>
      <c r="AI55" s="436"/>
      <c r="AJ55" s="436"/>
      <c r="AK55" s="436"/>
    </row>
    <row r="56" spans="1:37" s="49" customFormat="1" ht="17.25" customHeight="1">
      <c r="A56" s="436"/>
      <c r="B56" s="436"/>
      <c r="C56" s="436"/>
      <c r="D56" s="436"/>
      <c r="E56" s="436"/>
      <c r="G56" s="436"/>
      <c r="H56" s="436"/>
      <c r="I56" s="436"/>
      <c r="J56" s="436"/>
      <c r="K56" s="436"/>
      <c r="L56" s="436"/>
      <c r="M56" s="436"/>
      <c r="N56" s="436"/>
      <c r="O56" s="436"/>
      <c r="P56" s="436"/>
      <c r="Q56" s="436"/>
      <c r="R56" s="436"/>
      <c r="S56" s="436"/>
      <c r="T56" s="436"/>
      <c r="U56" s="436"/>
      <c r="V56" s="436"/>
      <c r="W56" s="436"/>
      <c r="X56" s="436"/>
      <c r="Y56" s="436"/>
      <c r="Z56" s="436"/>
      <c r="AA56" s="436"/>
      <c r="AB56" s="436"/>
      <c r="AC56" s="436"/>
      <c r="AD56" s="436"/>
      <c r="AE56" s="436"/>
      <c r="AF56" s="436"/>
      <c r="AG56" s="436"/>
      <c r="AH56" s="436"/>
      <c r="AI56" s="436"/>
      <c r="AJ56" s="436"/>
      <c r="AK56" s="436"/>
    </row>
    <row r="57" spans="1:37" s="49" customFormat="1" ht="17.25" customHeight="1">
      <c r="A57" s="436"/>
      <c r="B57" s="436"/>
      <c r="C57" s="436"/>
      <c r="D57" s="436"/>
      <c r="E57" s="436"/>
      <c r="F57" s="437"/>
      <c r="G57" s="436"/>
      <c r="H57" s="436"/>
      <c r="I57" s="436"/>
      <c r="J57" s="436"/>
      <c r="K57" s="436"/>
      <c r="L57" s="436"/>
      <c r="M57" s="436"/>
      <c r="N57" s="436"/>
      <c r="O57" s="436"/>
      <c r="P57" s="436"/>
      <c r="Q57" s="436"/>
      <c r="R57" s="436"/>
      <c r="S57" s="436"/>
      <c r="T57" s="436"/>
      <c r="U57" s="436"/>
      <c r="V57" s="436"/>
      <c r="W57" s="436"/>
      <c r="X57" s="436"/>
      <c r="Y57" s="436"/>
      <c r="Z57" s="436"/>
      <c r="AA57" s="436"/>
      <c r="AB57" s="436"/>
      <c r="AC57" s="436"/>
      <c r="AD57" s="436"/>
      <c r="AE57" s="436"/>
      <c r="AF57" s="436"/>
      <c r="AG57" s="436"/>
      <c r="AH57" s="436"/>
      <c r="AI57" s="436"/>
      <c r="AJ57" s="436"/>
      <c r="AK57" s="436"/>
    </row>
    <row r="58" spans="1:37" s="49" customFormat="1" ht="17.25" customHeight="1">
      <c r="A58" s="436"/>
      <c r="B58" s="436"/>
      <c r="C58" s="436"/>
      <c r="D58" s="436"/>
      <c r="E58" s="436"/>
      <c r="F58" s="437"/>
      <c r="G58" s="436"/>
      <c r="H58" s="436"/>
      <c r="I58" s="436"/>
      <c r="J58" s="436"/>
      <c r="K58" s="436"/>
      <c r="L58" s="436"/>
      <c r="M58" s="436"/>
      <c r="N58" s="436"/>
      <c r="O58" s="436"/>
      <c r="P58" s="436"/>
      <c r="Q58" s="436"/>
      <c r="R58" s="436"/>
      <c r="S58" s="436"/>
      <c r="T58" s="436"/>
      <c r="U58" s="436"/>
      <c r="V58" s="436"/>
      <c r="W58" s="436"/>
      <c r="X58" s="436"/>
      <c r="Y58" s="436"/>
      <c r="Z58" s="436"/>
      <c r="AA58" s="436"/>
      <c r="AB58" s="436"/>
      <c r="AC58" s="436"/>
      <c r="AD58" s="436"/>
      <c r="AE58" s="436"/>
      <c r="AF58" s="436"/>
      <c r="AG58" s="436"/>
      <c r="AH58" s="436"/>
      <c r="AI58" s="436"/>
      <c r="AJ58" s="436"/>
      <c r="AK58" s="436"/>
    </row>
    <row r="59" spans="1:37" s="49" customFormat="1" ht="17.25" customHeight="1">
      <c r="A59" s="436"/>
      <c r="B59" s="436"/>
      <c r="C59" s="436"/>
      <c r="D59" s="436"/>
      <c r="E59" s="436"/>
      <c r="F59" s="437"/>
      <c r="G59" s="436"/>
      <c r="H59" s="436"/>
      <c r="I59" s="436"/>
      <c r="J59" s="436"/>
      <c r="K59" s="436"/>
      <c r="L59" s="436"/>
      <c r="M59" s="436"/>
      <c r="N59" s="436"/>
      <c r="O59" s="436"/>
      <c r="P59" s="436"/>
      <c r="Q59" s="436"/>
      <c r="R59" s="436"/>
      <c r="S59" s="436"/>
      <c r="T59" s="436"/>
      <c r="U59" s="436"/>
      <c r="V59" s="436"/>
      <c r="W59" s="436"/>
      <c r="X59" s="436"/>
      <c r="Y59" s="436"/>
      <c r="Z59" s="436"/>
      <c r="AA59" s="436"/>
      <c r="AB59" s="436"/>
      <c r="AC59" s="436"/>
      <c r="AD59" s="436"/>
      <c r="AE59" s="436"/>
      <c r="AF59" s="436"/>
      <c r="AG59" s="436"/>
      <c r="AH59" s="436"/>
      <c r="AI59" s="436"/>
      <c r="AJ59" s="436"/>
      <c r="AK59" s="436"/>
    </row>
    <row r="60" spans="1:37" s="49" customFormat="1" ht="17.25" customHeight="1">
      <c r="A60" s="436"/>
      <c r="B60" s="436"/>
      <c r="C60" s="436"/>
      <c r="D60" s="436"/>
      <c r="E60" s="436"/>
      <c r="F60" s="437"/>
      <c r="G60" s="436"/>
      <c r="H60" s="436"/>
      <c r="I60" s="436"/>
      <c r="J60" s="436"/>
      <c r="K60" s="436"/>
      <c r="L60" s="436"/>
      <c r="M60" s="436"/>
      <c r="N60" s="436"/>
      <c r="O60" s="436"/>
      <c r="P60" s="436"/>
      <c r="Q60" s="436"/>
      <c r="R60" s="436"/>
      <c r="S60" s="436"/>
      <c r="T60" s="436"/>
      <c r="U60" s="436"/>
      <c r="V60" s="436"/>
      <c r="W60" s="436"/>
      <c r="X60" s="436"/>
      <c r="Y60" s="436"/>
      <c r="Z60" s="436"/>
      <c r="AA60" s="436"/>
      <c r="AB60" s="436"/>
      <c r="AC60" s="436"/>
      <c r="AD60" s="436"/>
      <c r="AE60" s="436"/>
      <c r="AF60" s="436"/>
      <c r="AG60" s="436"/>
      <c r="AH60" s="436"/>
      <c r="AI60" s="436"/>
      <c r="AJ60" s="436"/>
      <c r="AK60" s="436"/>
    </row>
    <row r="61" spans="1:37" s="49" customFormat="1" ht="17.25" customHeight="1">
      <c r="A61" s="436"/>
      <c r="B61" s="436"/>
      <c r="C61" s="436"/>
      <c r="D61" s="436"/>
      <c r="E61" s="436"/>
      <c r="F61" s="437"/>
      <c r="G61" s="436"/>
      <c r="H61" s="436"/>
      <c r="I61" s="436"/>
      <c r="J61" s="436"/>
      <c r="K61" s="436"/>
      <c r="L61" s="436"/>
      <c r="M61" s="436"/>
      <c r="N61" s="436"/>
      <c r="O61" s="436"/>
      <c r="P61" s="436"/>
      <c r="Q61" s="436"/>
      <c r="R61" s="436"/>
      <c r="S61" s="436"/>
      <c r="T61" s="436"/>
      <c r="U61" s="436"/>
      <c r="V61" s="436"/>
      <c r="W61" s="436"/>
      <c r="X61" s="436"/>
      <c r="Y61" s="436"/>
      <c r="Z61" s="436"/>
      <c r="AA61" s="436"/>
      <c r="AB61" s="436"/>
      <c r="AC61" s="436"/>
      <c r="AD61" s="436"/>
      <c r="AE61" s="436"/>
      <c r="AF61" s="436"/>
      <c r="AG61" s="436"/>
      <c r="AH61" s="436"/>
      <c r="AI61" s="436"/>
      <c r="AJ61" s="436"/>
      <c r="AK61" s="436"/>
    </row>
    <row r="62" spans="1:37" s="49" customFormat="1" ht="17.25" customHeight="1">
      <c r="A62" s="436"/>
      <c r="B62" s="436"/>
      <c r="C62" s="436"/>
      <c r="D62" s="436"/>
      <c r="E62" s="436"/>
      <c r="F62" s="437"/>
      <c r="G62" s="436"/>
      <c r="H62" s="436"/>
      <c r="I62" s="436"/>
      <c r="J62" s="436"/>
      <c r="K62" s="436"/>
      <c r="L62" s="436"/>
      <c r="M62" s="436"/>
      <c r="N62" s="436"/>
      <c r="O62" s="436"/>
      <c r="P62" s="436"/>
      <c r="Q62" s="436"/>
      <c r="R62" s="436"/>
      <c r="S62" s="436"/>
      <c r="T62" s="436"/>
      <c r="U62" s="436"/>
      <c r="V62" s="436"/>
      <c r="W62" s="436"/>
      <c r="X62" s="436"/>
      <c r="Y62" s="436"/>
      <c r="Z62" s="436"/>
      <c r="AA62" s="436"/>
      <c r="AB62" s="436"/>
      <c r="AC62" s="436"/>
      <c r="AD62" s="436"/>
      <c r="AE62" s="436"/>
      <c r="AF62" s="436"/>
      <c r="AG62" s="436"/>
      <c r="AH62" s="436"/>
      <c r="AI62" s="436"/>
      <c r="AJ62" s="436"/>
      <c r="AK62" s="436"/>
    </row>
    <row r="63" spans="1:37" s="49" customFormat="1" ht="17.25" customHeight="1">
      <c r="A63" s="436"/>
      <c r="B63" s="436"/>
      <c r="C63" s="436"/>
      <c r="D63" s="436"/>
      <c r="E63" s="436"/>
      <c r="F63" s="437"/>
      <c r="G63" s="436"/>
      <c r="H63" s="436"/>
      <c r="I63" s="436"/>
      <c r="J63" s="436"/>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c r="AI63" s="436"/>
      <c r="AJ63" s="436"/>
      <c r="AK63" s="436"/>
    </row>
    <row r="64" spans="1:37" s="49" customFormat="1" ht="17.25" customHeight="1">
      <c r="A64" s="436"/>
      <c r="B64" s="436"/>
      <c r="C64" s="436"/>
      <c r="D64" s="436"/>
      <c r="E64" s="436"/>
      <c r="F64" s="437"/>
      <c r="G64" s="436"/>
      <c r="H64" s="436"/>
      <c r="I64" s="436"/>
      <c r="J64" s="436"/>
      <c r="K64" s="436"/>
      <c r="L64" s="436"/>
      <c r="M64" s="436"/>
      <c r="N64" s="436"/>
      <c r="O64" s="436"/>
      <c r="P64" s="436"/>
      <c r="Q64" s="436"/>
      <c r="R64" s="436"/>
      <c r="S64" s="436"/>
      <c r="T64" s="436"/>
      <c r="U64" s="436"/>
      <c r="V64" s="436"/>
      <c r="W64" s="436"/>
      <c r="X64" s="436"/>
      <c r="Y64" s="436"/>
      <c r="Z64" s="436"/>
      <c r="AA64" s="436"/>
      <c r="AB64" s="436"/>
      <c r="AC64" s="436"/>
      <c r="AD64" s="436"/>
      <c r="AE64" s="436"/>
      <c r="AF64" s="436"/>
      <c r="AG64" s="436"/>
      <c r="AH64" s="436"/>
      <c r="AI64" s="436"/>
      <c r="AJ64" s="436"/>
      <c r="AK64" s="436"/>
    </row>
    <row r="65" spans="1:37" s="49" customFormat="1" ht="17.25" customHeight="1">
      <c r="A65" s="436"/>
      <c r="B65" s="436"/>
      <c r="C65" s="436"/>
      <c r="D65" s="436"/>
      <c r="E65" s="436"/>
      <c r="F65" s="436"/>
      <c r="G65" s="436"/>
      <c r="H65" s="436"/>
      <c r="I65" s="436"/>
      <c r="J65" s="436"/>
      <c r="K65" s="436"/>
      <c r="L65" s="436"/>
      <c r="M65" s="436"/>
      <c r="N65" s="436"/>
      <c r="O65" s="436"/>
      <c r="P65" s="436"/>
      <c r="Q65" s="436"/>
      <c r="R65" s="436"/>
      <c r="S65" s="436"/>
      <c r="T65" s="436"/>
      <c r="U65" s="436"/>
      <c r="V65" s="436"/>
      <c r="W65" s="436"/>
      <c r="X65" s="436"/>
      <c r="Y65" s="436"/>
      <c r="Z65" s="436"/>
      <c r="AA65" s="436"/>
      <c r="AB65" s="436"/>
      <c r="AC65" s="436"/>
      <c r="AD65" s="436"/>
      <c r="AE65" s="436"/>
      <c r="AF65" s="436"/>
      <c r="AG65" s="436"/>
      <c r="AH65" s="436"/>
      <c r="AI65" s="436"/>
      <c r="AJ65" s="436"/>
      <c r="AK65" s="436"/>
    </row>
    <row r="66" spans="1:37" s="49" customFormat="1" ht="17.25" customHeight="1">
      <c r="A66" s="436"/>
      <c r="B66" s="436"/>
      <c r="C66" s="436"/>
      <c r="D66" s="436"/>
      <c r="E66" s="436"/>
      <c r="F66" s="436"/>
      <c r="G66" s="436"/>
      <c r="H66" s="436"/>
      <c r="I66" s="436"/>
      <c r="J66" s="436"/>
      <c r="K66" s="436"/>
      <c r="L66" s="436"/>
      <c r="M66" s="436"/>
      <c r="N66" s="436"/>
      <c r="O66" s="436"/>
      <c r="P66" s="436"/>
      <c r="Q66" s="436"/>
      <c r="R66" s="436"/>
      <c r="S66" s="436"/>
      <c r="T66" s="436"/>
      <c r="U66" s="436"/>
      <c r="V66" s="436"/>
      <c r="W66" s="436"/>
      <c r="X66" s="436"/>
      <c r="Y66" s="436"/>
      <c r="Z66" s="436"/>
      <c r="AA66" s="436"/>
      <c r="AB66" s="436"/>
      <c r="AC66" s="436"/>
      <c r="AD66" s="436"/>
      <c r="AE66" s="436"/>
      <c r="AF66" s="436"/>
      <c r="AG66" s="436"/>
      <c r="AH66" s="436"/>
      <c r="AI66" s="436"/>
      <c r="AJ66" s="436"/>
      <c r="AK66" s="436"/>
    </row>
    <row r="67" spans="1:37" s="49" customFormat="1" ht="17.25" customHeight="1">
      <c r="A67" s="436"/>
      <c r="B67" s="436"/>
      <c r="C67" s="436"/>
      <c r="D67" s="436"/>
      <c r="E67" s="436"/>
      <c r="F67" s="436"/>
      <c r="G67" s="436"/>
      <c r="H67" s="436"/>
      <c r="I67" s="436"/>
      <c r="J67" s="436"/>
      <c r="K67" s="436"/>
      <c r="L67" s="436"/>
      <c r="M67" s="436"/>
      <c r="N67" s="436"/>
      <c r="O67" s="436"/>
      <c r="P67" s="436"/>
      <c r="Q67" s="436"/>
      <c r="R67" s="436"/>
      <c r="S67" s="436"/>
      <c r="T67" s="436"/>
      <c r="U67" s="436"/>
      <c r="V67" s="436"/>
      <c r="W67" s="436"/>
      <c r="X67" s="436"/>
      <c r="Y67" s="436"/>
      <c r="Z67" s="436"/>
      <c r="AA67" s="436"/>
      <c r="AB67" s="436"/>
      <c r="AC67" s="436"/>
      <c r="AD67" s="436"/>
      <c r="AE67" s="436"/>
      <c r="AF67" s="436"/>
      <c r="AG67" s="436"/>
      <c r="AH67" s="436"/>
      <c r="AI67" s="436"/>
      <c r="AJ67" s="436"/>
      <c r="AK67" s="436"/>
    </row>
    <row r="68" spans="1:37" s="49" customFormat="1" ht="17.25" customHeight="1">
      <c r="A68" s="436"/>
      <c r="B68" s="436"/>
      <c r="C68" s="436"/>
      <c r="D68" s="436"/>
      <c r="E68" s="436"/>
      <c r="F68" s="436"/>
      <c r="G68" s="436"/>
      <c r="H68" s="436"/>
      <c r="I68" s="436"/>
      <c r="J68" s="436"/>
      <c r="K68" s="436"/>
      <c r="L68" s="436"/>
      <c r="M68" s="436"/>
      <c r="N68" s="436"/>
      <c r="O68" s="436"/>
      <c r="P68" s="436"/>
      <c r="Q68" s="436"/>
      <c r="R68" s="436"/>
      <c r="S68" s="436"/>
      <c r="T68" s="436"/>
      <c r="U68" s="436"/>
      <c r="V68" s="436"/>
      <c r="W68" s="436"/>
      <c r="X68" s="436"/>
      <c r="Y68" s="436"/>
      <c r="Z68" s="436"/>
      <c r="AA68" s="436"/>
      <c r="AB68" s="436"/>
      <c r="AC68" s="436"/>
      <c r="AD68" s="436"/>
      <c r="AE68" s="436"/>
      <c r="AF68" s="436"/>
      <c r="AG68" s="436"/>
      <c r="AH68" s="436"/>
      <c r="AI68" s="436"/>
      <c r="AJ68" s="436"/>
      <c r="AK68" s="436"/>
    </row>
    <row r="69" spans="1:37" s="49" customFormat="1" ht="17.25" customHeight="1">
      <c r="A69" s="436"/>
      <c r="B69" s="436"/>
      <c r="C69" s="436"/>
      <c r="D69" s="436"/>
      <c r="E69" s="436"/>
      <c r="F69" s="436"/>
      <c r="G69" s="436"/>
      <c r="H69" s="436"/>
      <c r="I69" s="436"/>
      <c r="J69" s="436"/>
      <c r="K69" s="436"/>
      <c r="L69" s="436"/>
      <c r="M69" s="436"/>
      <c r="N69" s="436"/>
      <c r="O69" s="436"/>
      <c r="P69" s="436"/>
      <c r="Q69" s="436"/>
      <c r="R69" s="436"/>
      <c r="S69" s="436"/>
      <c r="T69" s="436"/>
      <c r="U69" s="436"/>
      <c r="V69" s="436"/>
      <c r="W69" s="436"/>
      <c r="X69" s="436"/>
      <c r="Y69" s="436"/>
      <c r="Z69" s="436"/>
      <c r="AA69" s="436"/>
      <c r="AB69" s="436"/>
      <c r="AC69" s="436"/>
      <c r="AD69" s="436"/>
      <c r="AE69" s="436"/>
      <c r="AF69" s="436"/>
      <c r="AG69" s="436"/>
      <c r="AH69" s="436"/>
      <c r="AI69" s="436"/>
      <c r="AJ69" s="436"/>
      <c r="AK69" s="436"/>
    </row>
    <row r="70" spans="1:37" s="49" customFormat="1" ht="17.25" customHeight="1">
      <c r="A70" s="436"/>
      <c r="B70" s="436"/>
      <c r="C70" s="436"/>
      <c r="D70" s="436"/>
      <c r="E70" s="436"/>
      <c r="F70" s="436"/>
      <c r="G70" s="436"/>
      <c r="H70" s="436"/>
      <c r="I70" s="436"/>
      <c r="J70" s="436"/>
      <c r="K70" s="436"/>
      <c r="L70" s="436"/>
      <c r="M70" s="436"/>
      <c r="N70" s="436"/>
      <c r="O70" s="436"/>
      <c r="P70" s="436"/>
      <c r="Q70" s="436"/>
      <c r="R70" s="436"/>
      <c r="S70" s="436"/>
      <c r="T70" s="436"/>
      <c r="U70" s="436"/>
      <c r="V70" s="436"/>
      <c r="W70" s="436"/>
      <c r="X70" s="436"/>
      <c r="Y70" s="436"/>
      <c r="Z70" s="436"/>
      <c r="AA70" s="436"/>
      <c r="AB70" s="436"/>
      <c r="AC70" s="436"/>
      <c r="AD70" s="436"/>
      <c r="AE70" s="436"/>
      <c r="AF70" s="436"/>
      <c r="AG70" s="436"/>
      <c r="AH70" s="436"/>
      <c r="AI70" s="436"/>
      <c r="AJ70" s="436"/>
      <c r="AK70" s="436"/>
    </row>
    <row r="71" spans="1:37" s="49" customFormat="1" ht="17.25" customHeight="1">
      <c r="A71" s="436"/>
      <c r="B71" s="436"/>
      <c r="C71" s="436"/>
      <c r="D71" s="436"/>
      <c r="E71" s="436"/>
      <c r="F71" s="436"/>
      <c r="G71" s="436"/>
      <c r="H71" s="436"/>
      <c r="I71" s="436"/>
      <c r="J71" s="436"/>
      <c r="K71" s="436"/>
      <c r="L71" s="436"/>
      <c r="M71" s="436"/>
      <c r="N71" s="436"/>
      <c r="O71" s="436"/>
      <c r="P71" s="436"/>
      <c r="Q71" s="436"/>
      <c r="R71" s="436"/>
      <c r="S71" s="436"/>
      <c r="T71" s="436"/>
      <c r="U71" s="436"/>
      <c r="V71" s="436"/>
      <c r="W71" s="436"/>
      <c r="X71" s="436"/>
      <c r="Y71" s="436"/>
      <c r="Z71" s="436"/>
      <c r="AA71" s="436"/>
      <c r="AB71" s="436"/>
      <c r="AC71" s="436"/>
      <c r="AD71" s="436"/>
      <c r="AE71" s="436"/>
      <c r="AF71" s="436"/>
      <c r="AG71" s="436"/>
      <c r="AH71" s="436"/>
      <c r="AI71" s="436"/>
      <c r="AJ71" s="436"/>
      <c r="AK71" s="436"/>
    </row>
    <row r="72" spans="1:37" s="49" customFormat="1" ht="17.25" customHeight="1">
      <c r="A72" s="436"/>
      <c r="B72" s="436"/>
      <c r="C72" s="436"/>
      <c r="D72" s="436"/>
      <c r="E72" s="436"/>
      <c r="F72" s="436"/>
      <c r="G72" s="436"/>
      <c r="H72" s="436"/>
      <c r="I72" s="436"/>
      <c r="J72" s="436"/>
      <c r="K72" s="436"/>
      <c r="L72" s="436"/>
      <c r="M72" s="436"/>
      <c r="N72" s="436"/>
      <c r="O72" s="436"/>
      <c r="P72" s="436"/>
      <c r="Q72" s="436"/>
      <c r="R72" s="436"/>
      <c r="S72" s="436"/>
      <c r="T72" s="436"/>
      <c r="U72" s="436"/>
      <c r="V72" s="436"/>
      <c r="W72" s="436"/>
      <c r="X72" s="436"/>
      <c r="Y72" s="436"/>
      <c r="Z72" s="436"/>
      <c r="AA72" s="436"/>
      <c r="AB72" s="436"/>
      <c r="AC72" s="436"/>
      <c r="AD72" s="436"/>
      <c r="AE72" s="436"/>
      <c r="AF72" s="436"/>
      <c r="AG72" s="436"/>
      <c r="AH72" s="436"/>
      <c r="AI72" s="436"/>
      <c r="AJ72" s="436"/>
      <c r="AK72" s="436"/>
    </row>
    <row r="73" spans="1:37" s="49" customFormat="1" ht="17.25" customHeight="1">
      <c r="A73" s="436"/>
      <c r="B73" s="436"/>
      <c r="C73" s="436"/>
      <c r="D73" s="436"/>
      <c r="E73" s="436"/>
      <c r="F73" s="436"/>
      <c r="G73" s="436"/>
      <c r="H73" s="436"/>
      <c r="I73" s="436"/>
      <c r="J73" s="436"/>
      <c r="K73" s="436"/>
      <c r="L73" s="436"/>
      <c r="M73" s="436"/>
      <c r="N73" s="436"/>
      <c r="O73" s="436"/>
      <c r="P73" s="436"/>
      <c r="Q73" s="436"/>
      <c r="R73" s="436"/>
      <c r="S73" s="436"/>
      <c r="T73" s="436"/>
      <c r="U73" s="436"/>
      <c r="V73" s="436"/>
      <c r="W73" s="436"/>
      <c r="X73" s="436"/>
      <c r="Y73" s="436"/>
      <c r="Z73" s="436"/>
      <c r="AA73" s="436"/>
      <c r="AB73" s="436"/>
      <c r="AC73" s="436"/>
      <c r="AD73" s="436"/>
      <c r="AE73" s="436"/>
      <c r="AF73" s="436"/>
      <c r="AG73" s="436"/>
      <c r="AH73" s="436"/>
      <c r="AI73" s="436"/>
      <c r="AJ73" s="436"/>
      <c r="AK73" s="436"/>
    </row>
    <row r="74" spans="1:37" s="49" customFormat="1" ht="17.25" customHeight="1">
      <c r="A74" s="436"/>
      <c r="B74" s="436"/>
      <c r="C74" s="436"/>
      <c r="D74" s="436"/>
      <c r="E74" s="436"/>
      <c r="F74" s="436"/>
      <c r="G74" s="436"/>
      <c r="H74" s="436"/>
      <c r="I74" s="436"/>
      <c r="J74" s="436"/>
      <c r="K74" s="436"/>
      <c r="L74" s="436"/>
      <c r="M74" s="436"/>
      <c r="N74" s="436"/>
      <c r="O74" s="436"/>
      <c r="P74" s="436"/>
      <c r="Q74" s="436"/>
      <c r="R74" s="436"/>
      <c r="S74" s="436"/>
      <c r="T74" s="436"/>
      <c r="U74" s="436"/>
      <c r="V74" s="436"/>
      <c r="W74" s="436"/>
      <c r="X74" s="436"/>
      <c r="Y74" s="436"/>
      <c r="Z74" s="436"/>
      <c r="AA74" s="436"/>
      <c r="AB74" s="436"/>
      <c r="AC74" s="436"/>
      <c r="AD74" s="436"/>
      <c r="AE74" s="436"/>
      <c r="AF74" s="436"/>
      <c r="AG74" s="436"/>
      <c r="AH74" s="436"/>
      <c r="AI74" s="436"/>
      <c r="AJ74" s="436"/>
      <c r="AK74" s="436"/>
    </row>
    <row r="75" spans="1:37" s="49" customFormat="1" ht="17.25" customHeight="1">
      <c r="A75" s="436"/>
      <c r="B75" s="436"/>
      <c r="C75" s="436"/>
      <c r="D75" s="436"/>
      <c r="E75" s="436"/>
      <c r="F75" s="436"/>
      <c r="G75" s="436"/>
      <c r="H75" s="436"/>
      <c r="I75" s="436"/>
      <c r="J75" s="436"/>
      <c r="K75" s="436"/>
      <c r="L75" s="436"/>
      <c r="M75" s="436"/>
      <c r="N75" s="436"/>
      <c r="O75" s="436"/>
      <c r="P75" s="436"/>
      <c r="Q75" s="436"/>
      <c r="R75" s="436"/>
      <c r="S75" s="436"/>
      <c r="T75" s="436"/>
      <c r="U75" s="436"/>
      <c r="V75" s="436"/>
      <c r="W75" s="436"/>
      <c r="X75" s="436"/>
      <c r="Y75" s="436"/>
      <c r="Z75" s="436"/>
      <c r="AA75" s="436"/>
      <c r="AB75" s="436"/>
      <c r="AC75" s="436"/>
      <c r="AD75" s="436"/>
      <c r="AE75" s="436"/>
      <c r="AF75" s="436"/>
      <c r="AG75" s="436"/>
      <c r="AH75" s="436"/>
      <c r="AI75" s="436"/>
      <c r="AJ75" s="436"/>
      <c r="AK75" s="436"/>
    </row>
    <row r="76" spans="1:37" s="49" customFormat="1" ht="17.25" customHeight="1">
      <c r="A76" s="436"/>
      <c r="B76" s="436"/>
      <c r="C76" s="436"/>
      <c r="D76" s="436"/>
      <c r="E76" s="436"/>
      <c r="F76" s="436"/>
      <c r="G76" s="436"/>
      <c r="H76" s="436"/>
      <c r="I76" s="436"/>
      <c r="J76" s="436"/>
      <c r="K76" s="436"/>
      <c r="L76" s="436"/>
      <c r="M76" s="436"/>
      <c r="N76" s="436"/>
      <c r="O76" s="436"/>
      <c r="P76" s="436"/>
      <c r="Q76" s="436"/>
      <c r="R76" s="436"/>
      <c r="S76" s="436"/>
      <c r="T76" s="436"/>
      <c r="U76" s="436"/>
      <c r="V76" s="436"/>
      <c r="W76" s="436"/>
      <c r="X76" s="436"/>
      <c r="Y76" s="436"/>
      <c r="Z76" s="436"/>
      <c r="AA76" s="436"/>
      <c r="AB76" s="436"/>
      <c r="AC76" s="436"/>
      <c r="AD76" s="436"/>
      <c r="AE76" s="436"/>
      <c r="AF76" s="436"/>
      <c r="AG76" s="436"/>
      <c r="AH76" s="436"/>
      <c r="AI76" s="436"/>
      <c r="AJ76" s="436"/>
      <c r="AK76" s="436"/>
    </row>
    <row r="77" spans="1:37" s="49" customFormat="1" ht="17.25" customHeight="1">
      <c r="A77" s="436"/>
      <c r="B77" s="436"/>
      <c r="C77" s="436"/>
      <c r="D77" s="436"/>
      <c r="E77" s="436"/>
      <c r="F77" s="436"/>
      <c r="G77" s="436"/>
      <c r="H77" s="436"/>
      <c r="I77" s="436"/>
      <c r="J77" s="436"/>
      <c r="K77" s="436"/>
      <c r="L77" s="436"/>
      <c r="M77" s="436"/>
      <c r="N77" s="436"/>
      <c r="O77" s="436"/>
      <c r="P77" s="436"/>
      <c r="Q77" s="436"/>
      <c r="R77" s="436"/>
      <c r="S77" s="436"/>
      <c r="T77" s="436"/>
      <c r="U77" s="436"/>
      <c r="V77" s="436"/>
      <c r="W77" s="436"/>
      <c r="X77" s="436"/>
      <c r="Y77" s="436"/>
      <c r="Z77" s="436"/>
      <c r="AA77" s="436"/>
      <c r="AB77" s="436"/>
      <c r="AC77" s="436"/>
      <c r="AD77" s="436"/>
      <c r="AE77" s="436"/>
      <c r="AF77" s="436"/>
      <c r="AG77" s="436"/>
      <c r="AH77" s="436"/>
      <c r="AI77" s="436"/>
      <c r="AJ77" s="436"/>
      <c r="AK77" s="436"/>
    </row>
    <row r="78" spans="1:37" s="49" customFormat="1" ht="17.25" customHeight="1">
      <c r="A78" s="436"/>
      <c r="B78" s="436"/>
      <c r="C78" s="436"/>
      <c r="D78" s="436"/>
      <c r="E78" s="436"/>
      <c r="F78" s="436"/>
      <c r="G78" s="436"/>
      <c r="H78" s="436"/>
      <c r="I78" s="436"/>
      <c r="J78" s="436"/>
      <c r="K78" s="436"/>
      <c r="L78" s="436"/>
      <c r="M78" s="436"/>
      <c r="N78" s="436"/>
      <c r="O78" s="436"/>
      <c r="P78" s="436"/>
      <c r="Q78" s="436"/>
      <c r="R78" s="436"/>
      <c r="S78" s="436"/>
      <c r="T78" s="436"/>
      <c r="U78" s="436"/>
      <c r="V78" s="436"/>
      <c r="W78" s="436"/>
      <c r="X78" s="436"/>
      <c r="Y78" s="436"/>
      <c r="Z78" s="436"/>
      <c r="AA78" s="436"/>
      <c r="AB78" s="436"/>
      <c r="AC78" s="436"/>
      <c r="AD78" s="436"/>
      <c r="AE78" s="436"/>
      <c r="AF78" s="436"/>
      <c r="AG78" s="436"/>
      <c r="AH78" s="436"/>
      <c r="AI78" s="436"/>
      <c r="AJ78" s="436"/>
      <c r="AK78" s="436"/>
    </row>
    <row r="79" spans="1:37" s="49" customFormat="1" ht="17.25" customHeight="1">
      <c r="A79" s="436"/>
      <c r="B79" s="436"/>
      <c r="C79" s="436"/>
      <c r="D79" s="436"/>
      <c r="E79" s="436"/>
      <c r="F79" s="436"/>
      <c r="G79" s="436"/>
      <c r="H79" s="436"/>
      <c r="I79" s="436"/>
      <c r="J79" s="436"/>
      <c r="K79" s="436"/>
      <c r="L79" s="436"/>
      <c r="M79" s="436"/>
      <c r="N79" s="436"/>
      <c r="O79" s="436"/>
      <c r="P79" s="436"/>
      <c r="Q79" s="436"/>
      <c r="R79" s="436"/>
      <c r="S79" s="436"/>
      <c r="T79" s="436"/>
      <c r="U79" s="436"/>
      <c r="V79" s="436"/>
      <c r="W79" s="436"/>
      <c r="X79" s="436"/>
      <c r="Y79" s="436"/>
      <c r="Z79" s="436"/>
      <c r="AA79" s="436"/>
      <c r="AB79" s="436"/>
      <c r="AC79" s="436"/>
      <c r="AD79" s="436"/>
      <c r="AE79" s="436"/>
      <c r="AF79" s="436"/>
      <c r="AG79" s="436"/>
      <c r="AH79" s="436"/>
      <c r="AI79" s="436"/>
      <c r="AJ79" s="436"/>
      <c r="AK79" s="436"/>
    </row>
    <row r="80" spans="1:37" s="49" customFormat="1" ht="17.25" customHeight="1">
      <c r="A80" s="436"/>
      <c r="B80" s="436"/>
      <c r="C80" s="436"/>
      <c r="D80" s="436"/>
      <c r="E80" s="436"/>
      <c r="F80" s="436"/>
      <c r="G80" s="436"/>
      <c r="H80" s="436"/>
      <c r="I80" s="436"/>
      <c r="J80" s="436"/>
      <c r="K80" s="436"/>
      <c r="L80" s="436"/>
      <c r="M80" s="436"/>
      <c r="N80" s="436"/>
      <c r="O80" s="436"/>
      <c r="P80" s="436"/>
      <c r="Q80" s="436"/>
      <c r="R80" s="436"/>
      <c r="S80" s="436"/>
      <c r="T80" s="436"/>
      <c r="U80" s="436"/>
      <c r="V80" s="436"/>
      <c r="W80" s="436"/>
      <c r="X80" s="436"/>
      <c r="Y80" s="436"/>
      <c r="Z80" s="436"/>
      <c r="AA80" s="436"/>
      <c r="AB80" s="436"/>
      <c r="AC80" s="436"/>
      <c r="AD80" s="436"/>
      <c r="AE80" s="436"/>
      <c r="AF80" s="436"/>
      <c r="AG80" s="436"/>
      <c r="AH80" s="436"/>
      <c r="AI80" s="436"/>
      <c r="AJ80" s="436"/>
      <c r="AK80" s="436"/>
    </row>
    <row r="81" spans="1:37" s="49" customFormat="1" ht="17.25" customHeight="1">
      <c r="A81" s="436"/>
      <c r="B81" s="436"/>
      <c r="C81" s="436"/>
      <c r="D81" s="436"/>
      <c r="E81" s="436"/>
      <c r="F81" s="436"/>
      <c r="G81" s="436"/>
      <c r="H81" s="436"/>
      <c r="I81" s="436"/>
      <c r="J81" s="436"/>
      <c r="K81" s="436"/>
      <c r="L81" s="436"/>
      <c r="M81" s="436"/>
      <c r="N81" s="436"/>
      <c r="O81" s="436"/>
      <c r="P81" s="436"/>
      <c r="Q81" s="436"/>
      <c r="R81" s="436"/>
      <c r="S81" s="436"/>
      <c r="T81" s="436"/>
      <c r="U81" s="436"/>
      <c r="V81" s="436"/>
      <c r="W81" s="436"/>
      <c r="X81" s="436"/>
      <c r="Y81" s="436"/>
      <c r="Z81" s="436"/>
      <c r="AA81" s="436"/>
      <c r="AB81" s="436"/>
      <c r="AC81" s="436"/>
      <c r="AD81" s="436"/>
      <c r="AE81" s="436"/>
      <c r="AF81" s="436"/>
      <c r="AG81" s="436"/>
      <c r="AH81" s="436"/>
      <c r="AI81" s="436"/>
      <c r="AJ81" s="436"/>
      <c r="AK81" s="436"/>
    </row>
    <row r="82" spans="1:37" s="49" customFormat="1" ht="17.25" customHeight="1"/>
    <row r="83" spans="1:37" s="49" customFormat="1" ht="17.25" customHeight="1"/>
    <row r="84" spans="1:37" s="49" customFormat="1" ht="17.25" customHeight="1"/>
    <row r="85" spans="1:37" s="49" customFormat="1" ht="17.25" customHeight="1"/>
    <row r="86" spans="1:37" s="49" customFormat="1" ht="17.25" customHeight="1"/>
    <row r="87" spans="1:37" s="49" customFormat="1" ht="17.25" customHeight="1"/>
    <row r="88" spans="1:37" s="49" customFormat="1" ht="17.25" customHeight="1"/>
    <row r="89" spans="1:37" s="49" customFormat="1" ht="17.25" customHeight="1"/>
    <row r="90" spans="1:37" s="49" customFormat="1" ht="17.25" customHeight="1"/>
    <row r="91" spans="1:37" s="49" customFormat="1" ht="17.25" customHeight="1"/>
    <row r="92" spans="1:37" s="49" customFormat="1" ht="17.25" customHeight="1"/>
    <row r="93" spans="1:37" s="49" customFormat="1" ht="17.25" customHeight="1"/>
    <row r="94" spans="1:37" s="49" customFormat="1" ht="17.25" customHeight="1"/>
    <row r="95" spans="1:37" s="49" customFormat="1" ht="12" customHeight="1"/>
    <row r="96" spans="1:37" s="49" customFormat="1" ht="12" customHeight="1"/>
    <row r="97" s="49" customFormat="1" ht="12" customHeight="1"/>
    <row r="98" s="49" customFormat="1" ht="12" customHeight="1"/>
    <row r="99" s="49" customFormat="1" ht="12" customHeight="1"/>
    <row r="100" s="49" customFormat="1" ht="12" customHeight="1"/>
    <row r="101" s="49" customFormat="1" ht="12" customHeight="1"/>
    <row r="102" s="49" customFormat="1" ht="12" customHeight="1"/>
    <row r="103" ht="12" customHeight="1"/>
  </sheetData>
  <mergeCells count="1">
    <mergeCell ref="F26:Q38"/>
  </mergeCells>
  <hyperlinks>
    <hyperlink ref="B4" location="'Reported Group Profit and Loss'!A1" display="1)" xr:uid="{00000000-0004-0000-0000-000000000000}"/>
    <hyperlink ref="B5" location="'Reported Group Balance Sheet'!A1" display="2)" xr:uid="{00000000-0004-0000-0000-000001000000}"/>
    <hyperlink ref="B6" location="'Reported Group Cash-Flow'!A1" display="3)" xr:uid="{00000000-0004-0000-0000-000002000000}"/>
    <hyperlink ref="B7" location="'Revenue, EBITDA, capex breakout'!A1" display="4)" xr:uid="{00000000-0004-0000-0000-000003000000}"/>
    <hyperlink ref="B8" location="'Indian opex'!A1" display="5)" xr:uid="{00000000-0004-0000-0000-000004000000}"/>
    <hyperlink ref="B9" location="'Domestic Mobile Financials'!A1" display="6)" xr:uid="{00000000-0004-0000-0000-000005000000}"/>
    <hyperlink ref="B10" location="'Domestic Mobile Operations'!A1" display="7)" xr:uid="{00000000-0004-0000-0000-000006000000}"/>
    <hyperlink ref="B11" location="'Other India financials'!A1" display="8)" xr:uid="{00000000-0004-0000-0000-000007000000}"/>
    <hyperlink ref="B12" location="'Other India Operations'!A1" display="9)" xr:uid="{00000000-0004-0000-0000-000008000000}"/>
    <hyperlink ref="B13" location="'International Financials'!A1" display="10)" xr:uid="{00000000-0004-0000-0000-000009000000}"/>
    <hyperlink ref="B14" location="'International Operations KPIs'!A1" display="11)" xr:uid="{00000000-0004-0000-0000-00000A000000}"/>
    <hyperlink ref="B15" location="Charts!A1" display="12)" xr:uid="{00000000-0004-0000-0000-00000B000000}"/>
    <hyperlink ref="F49" r:id="rId1" xr:uid="{C919E9D6-D77F-413A-82EB-3095F893FD00}"/>
    <hyperlink ref="F48" r:id="rId2" xr:uid="{07FF312A-421D-4FAB-A1DB-FB2624D1BAAF}"/>
    <hyperlink ref="F50" r:id="rId3" xr:uid="{C75FA0DF-CF13-4D4A-A42A-11799EABCC7E}"/>
    <hyperlink ref="F47" r:id="rId4" xr:uid="{1A144EC9-06A1-4B22-921C-FC217D7ACF65}"/>
    <hyperlink ref="F46" r:id="rId5" display="https://www.newstreetresearch.com/download-page/airtel-africa-q3-23-solid-results-in-nigeria-but-slower-quarter-in-east-africa-and-francophone/" xr:uid="{540CF618-DEC1-4FA1-A93E-EE7EC8E209C2}"/>
    <hyperlink ref="F45" r:id="rId6" display="https://www.newstreetresearch.com/download-page/african-telcos-and-towers-what-if-the-naira-devalues-to-600/" xr:uid="{02987D31-62BA-423F-9827-3132E760ECE6}"/>
    <hyperlink ref="F44" r:id="rId7" display="https://www.newstreetresearch.com/download-page/bharti-lifts-entry-plan-price-by-57-in-7-more-regions/" xr:uid="{A9DBACDA-37A1-43E6-AA6D-7333635A1BDF}"/>
    <hyperlink ref="F41" r:id="rId8" xr:uid="{E3F70BD6-3A58-4A3E-A9E7-B32FBC69551F}"/>
    <hyperlink ref="F42" r:id="rId9" xr:uid="{2C6A2D78-151F-44E7-886D-4CCA96F3BC46}"/>
    <hyperlink ref="F43" r:id="rId10" xr:uid="{12DF02A7-A8EC-422C-AC49-AC9C29D247E3}"/>
    <hyperlink ref="F40" r:id="rId11" xr:uid="{A026491E-4857-40CA-8FC0-1FE4612B1952}"/>
  </hyperlinks>
  <pageMargins left="0.7" right="0.7" top="0.75" bottom="0.75" header="0.3" footer="0.3"/>
  <pageSetup paperSize="9" orientation="portrait" horizontalDpi="4294967293" r:id="rId12"/>
  <drawing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F90"/>
  <sheetViews>
    <sheetView showGridLines="0" zoomScale="70" zoomScaleNormal="70" workbookViewId="0">
      <pane xSplit="1" ySplit="1" topLeftCell="AS2" activePane="bottomRight" state="frozen"/>
      <selection activeCell="BA80" sqref="BA80"/>
      <selection pane="topRight" activeCell="BA80" sqref="BA80"/>
      <selection pane="bottomLeft" activeCell="BA80" sqref="BA80"/>
      <selection pane="bottomRight" activeCell="BB20" sqref="BB20"/>
    </sheetView>
  </sheetViews>
  <sheetFormatPr defaultColWidth="9.234375" defaultRowHeight="14.35"/>
  <cols>
    <col min="1" max="1" width="43" style="2" bestFit="1" customWidth="1"/>
    <col min="2" max="2" width="11.234375" style="2" customWidth="1"/>
    <col min="3" max="4" width="11" style="2" bestFit="1" customWidth="1"/>
    <col min="5" max="5" width="11.52734375" style="2" bestFit="1" customWidth="1"/>
    <col min="6" max="6" width="11" style="2" bestFit="1" customWidth="1"/>
    <col min="7" max="17" width="11.52734375" style="2" bestFit="1" customWidth="1"/>
    <col min="18" max="18" width="12.41015625" style="2" bestFit="1" customWidth="1"/>
    <col min="19" max="19" width="11.52734375" style="2" bestFit="1" customWidth="1"/>
    <col min="20" max="20" width="11" style="2" bestFit="1" customWidth="1"/>
    <col min="21" max="23" width="11.52734375" style="2" bestFit="1" customWidth="1"/>
    <col min="24" max="24" width="11.76171875" style="2" bestFit="1" customWidth="1"/>
    <col min="25" max="25" width="11.52734375" style="2" bestFit="1" customWidth="1"/>
    <col min="26" max="30" width="11.76171875" style="2" bestFit="1" customWidth="1"/>
    <col min="31" max="31" width="11.76171875" style="14" bestFit="1" customWidth="1"/>
    <col min="32" max="33" width="11.52734375" style="14" bestFit="1" customWidth="1"/>
    <col min="34" max="34" width="11.76171875" style="14" bestFit="1" customWidth="1"/>
    <col min="35" max="35" width="11.52734375" style="14" bestFit="1" customWidth="1"/>
    <col min="36" max="39" width="11.76171875" style="14" bestFit="1" customWidth="1"/>
    <col min="40" max="42" width="10.41015625" style="14" bestFit="1" customWidth="1"/>
    <col min="43" max="55" width="10.76171875" style="14" bestFit="1" customWidth="1"/>
    <col min="56" max="56" width="5.234375" style="2" customWidth="1"/>
    <col min="57" max="57" width="85.76171875" style="2" customWidth="1"/>
    <col min="58" max="16384" width="9.234375" style="2"/>
  </cols>
  <sheetData>
    <row r="1" spans="1:58" s="30" customFormat="1" ht="15.35">
      <c r="A1" s="508" t="s">
        <v>27</v>
      </c>
      <c r="B1" s="508" t="s">
        <v>0</v>
      </c>
      <c r="C1" s="508" t="s">
        <v>1</v>
      </c>
      <c r="D1" s="508" t="s">
        <v>2</v>
      </c>
      <c r="E1" s="520" t="str">
        <f>'Reported Group Profit and Loss'!E1</f>
        <v>4Q12</v>
      </c>
      <c r="F1" s="520" t="str">
        <f>'Reported Group Profit and Loss'!F1</f>
        <v>1Q13</v>
      </c>
      <c r="G1" s="520" t="str">
        <f>'Reported Group Profit and Loss'!G1</f>
        <v>2Q13</v>
      </c>
      <c r="H1" s="520" t="str">
        <f>'Reported Group Profit and Loss'!H1</f>
        <v>3Q13</v>
      </c>
      <c r="I1" s="520" t="str">
        <f>'Reported Group Profit and Loss'!I1</f>
        <v>4Q13</v>
      </c>
      <c r="J1" s="520" t="str">
        <f>'Reported Group Profit and Loss'!J1</f>
        <v>1Q14</v>
      </c>
      <c r="K1" s="520" t="str">
        <f>'Reported Group Profit and Loss'!K1</f>
        <v>2Q14</v>
      </c>
      <c r="L1" s="520" t="str">
        <f>'Reported Group Profit and Loss'!L1</f>
        <v>3Q14</v>
      </c>
      <c r="M1" s="520" t="str">
        <f>'Reported Group Profit and Loss'!M1</f>
        <v>4Q14</v>
      </c>
      <c r="N1" s="520" t="str">
        <f>'Reported Group Profit and Loss'!N1</f>
        <v>1Q15</v>
      </c>
      <c r="O1" s="520" t="str">
        <f>'Reported Group Profit and Loss'!O1</f>
        <v>2Q15</v>
      </c>
      <c r="P1" s="520" t="str">
        <f>'Reported Group Profit and Loss'!P1</f>
        <v>3Q15</v>
      </c>
      <c r="Q1" s="520" t="str">
        <f>'Reported Group Profit and Loss'!Q1</f>
        <v>4Q15</v>
      </c>
      <c r="R1" s="520" t="str">
        <f>'Reported Group Profit and Loss'!R1</f>
        <v>1Q16</v>
      </c>
      <c r="S1" s="520" t="str">
        <f>'Reported Group Profit and Loss'!S1</f>
        <v>2Q16</v>
      </c>
      <c r="T1" s="520" t="str">
        <f>'Reported Group Profit and Loss'!T1</f>
        <v>3Q16</v>
      </c>
      <c r="U1" s="520" t="str">
        <f>'Reported Group Profit and Loss'!U1</f>
        <v>4Q16</v>
      </c>
      <c r="V1" s="520" t="str">
        <f>'Reported Group Profit and Loss'!V1</f>
        <v>1Q17</v>
      </c>
      <c r="W1" s="520" t="str">
        <f>'Reported Group Profit and Loss'!W1</f>
        <v>2Q17</v>
      </c>
      <c r="X1" s="520" t="str">
        <f>'Reported Group Profit and Loss'!X1</f>
        <v>3Q17</v>
      </c>
      <c r="Y1" s="520" t="str">
        <f>'Reported Group Profit and Loss'!Y1</f>
        <v>4Q17</v>
      </c>
      <c r="Z1" s="520" t="str">
        <f>'Reported Group Profit and Loss'!Z1</f>
        <v>1Q18</v>
      </c>
      <c r="AA1" s="520" t="str">
        <f>'Reported Group Profit and Loss'!AA1</f>
        <v>2Q18</v>
      </c>
      <c r="AB1" s="520" t="str">
        <f>'Reported Group Profit and Loss'!AB1</f>
        <v>3Q18</v>
      </c>
      <c r="AC1" s="520" t="str">
        <f>'Reported Group Profit and Loss'!AC1</f>
        <v>4Q18</v>
      </c>
      <c r="AD1" s="520" t="str">
        <f>'Reported Group Profit and Loss'!AD1</f>
        <v>1Q19</v>
      </c>
      <c r="AE1" s="520" t="str">
        <f>'Reported Group Profit and Loss'!AE1</f>
        <v>2Q19</v>
      </c>
      <c r="AF1" s="520" t="str">
        <f>'Reported Group Profit and Loss'!AF1</f>
        <v>3Q19</v>
      </c>
      <c r="AG1" s="520" t="str">
        <f>'Reported Group Profit and Loss'!AG1</f>
        <v>4Q19</v>
      </c>
      <c r="AH1" s="520" t="str">
        <f>'Reported Group Profit and Loss'!AH1</f>
        <v>1Q20</v>
      </c>
      <c r="AI1" s="520" t="str">
        <f>'Reported Group Profit and Loss'!AI1</f>
        <v>2Q20</v>
      </c>
      <c r="AJ1" s="520" t="str">
        <f>'Reported Group Profit and Loss'!AJ1</f>
        <v>3Q20</v>
      </c>
      <c r="AK1" s="520" t="str">
        <f>'Reported Group Profit and Loss'!AK1</f>
        <v>4Q20</v>
      </c>
      <c r="AL1" s="520" t="str">
        <f>'Reported Group Profit and Loss'!AL1</f>
        <v>1Q21</v>
      </c>
      <c r="AM1" s="520" t="str">
        <f>'Reported Group Profit and Loss'!AM1</f>
        <v>2Q21</v>
      </c>
      <c r="AN1" s="520" t="str">
        <f>'Reported Group Profit and Loss'!AN1</f>
        <v>3Q21</v>
      </c>
      <c r="AO1" s="520" t="str">
        <f>'Reported Group Profit and Loss'!AO1</f>
        <v>4Q21</v>
      </c>
      <c r="AP1" s="520" t="str">
        <f>'Reported Group Profit and Loss'!AP1</f>
        <v>1Q22</v>
      </c>
      <c r="AQ1" s="520" t="str">
        <f>'Reported Group Profit and Loss'!AQ1</f>
        <v>2Q22</v>
      </c>
      <c r="AR1" s="520" t="str">
        <f>'Reported Group Profit and Loss'!AR1</f>
        <v>3Q22</v>
      </c>
      <c r="AS1" s="520" t="str">
        <f>'Reported Group Profit and Loss'!AS1</f>
        <v>4Q22</v>
      </c>
      <c r="AT1" s="520" t="str">
        <f>'Reported Group Profit and Loss'!AT1</f>
        <v>1Q23</v>
      </c>
      <c r="AU1" s="520" t="str">
        <f>'Reported Group Profit and Loss'!AU1</f>
        <v>2Q23</v>
      </c>
      <c r="AV1" s="520" t="str">
        <f>'Reported Group Profit and Loss'!AV1</f>
        <v>3Q23</v>
      </c>
      <c r="AW1" s="520" t="str">
        <f>'Reported Group Profit and Loss'!AW1</f>
        <v>4Q23</v>
      </c>
      <c r="AX1" s="520" t="str">
        <f>'Reported Group Profit and Loss'!AX1</f>
        <v>1Q24</v>
      </c>
      <c r="AY1" s="520" t="str">
        <f>'Reported Group Profit and Loss'!AY1</f>
        <v>2Q24</v>
      </c>
      <c r="AZ1" s="520" t="str">
        <f>'Reported Group Profit and Loss'!AZ1</f>
        <v>3Q24</v>
      </c>
      <c r="BA1" s="520" t="str">
        <f>'Reported Group Profit and Loss'!BA1</f>
        <v>4Q24</v>
      </c>
      <c r="BB1" s="520" t="str">
        <f>'Reported Group Profit and Loss'!BB1</f>
        <v>1Q25</v>
      </c>
      <c r="BC1" s="520" t="str">
        <f>'Reported Group Profit and Loss'!BC1</f>
        <v>2Q25</v>
      </c>
      <c r="BD1" s="508"/>
      <c r="BE1" s="508" t="s">
        <v>209</v>
      </c>
      <c r="BF1" s="13"/>
    </row>
    <row r="2" spans="1:58" s="30" customFormat="1" ht="15.35">
      <c r="A2" s="508" t="s">
        <v>132</v>
      </c>
      <c r="B2" s="508"/>
      <c r="C2" s="508"/>
      <c r="D2" s="508"/>
      <c r="E2" s="508"/>
      <c r="F2" s="508"/>
      <c r="G2" s="508"/>
      <c r="H2" s="508"/>
      <c r="I2" s="508"/>
      <c r="J2" s="508"/>
      <c r="K2" s="508"/>
      <c r="L2" s="508"/>
      <c r="M2" s="508"/>
      <c r="N2" s="508"/>
      <c r="O2" s="508"/>
      <c r="P2" s="508"/>
      <c r="Q2" s="508"/>
      <c r="R2" s="508"/>
      <c r="S2" s="508"/>
      <c r="T2" s="508"/>
      <c r="U2" s="508"/>
      <c r="V2" s="508"/>
      <c r="W2" s="508"/>
      <c r="X2" s="508"/>
      <c r="Y2" s="508"/>
      <c r="Z2" s="508"/>
      <c r="AA2" s="508"/>
      <c r="AB2" s="508"/>
      <c r="AC2" s="508"/>
      <c r="AD2" s="508"/>
      <c r="AE2" s="508"/>
      <c r="AF2" s="520"/>
      <c r="AG2" s="520"/>
      <c r="AH2" s="520"/>
      <c r="AI2" s="520"/>
      <c r="AJ2" s="520"/>
      <c r="AK2" s="520"/>
      <c r="AL2" s="520"/>
      <c r="AM2" s="520"/>
      <c r="AN2" s="520"/>
      <c r="AO2" s="520"/>
      <c r="AP2" s="520"/>
      <c r="AQ2" s="520"/>
      <c r="AR2" s="520"/>
      <c r="AS2" s="520"/>
      <c r="AT2" s="520"/>
      <c r="AU2" s="520"/>
      <c r="AV2" s="520"/>
      <c r="AW2" s="520"/>
      <c r="AX2" s="520"/>
      <c r="AY2" s="520"/>
      <c r="AZ2" s="520"/>
      <c r="BA2" s="520"/>
      <c r="BB2" s="520"/>
      <c r="BC2" s="520"/>
      <c r="BD2" s="508"/>
      <c r="BE2" s="508"/>
      <c r="BF2" s="13"/>
    </row>
    <row r="3" spans="1:58" s="3" customFormat="1">
      <c r="B3" s="7" t="s">
        <v>188</v>
      </c>
      <c r="AF3" s="68"/>
      <c r="AG3" s="68"/>
      <c r="AH3" s="42"/>
      <c r="AI3" s="42"/>
      <c r="AJ3" s="42"/>
      <c r="AK3" s="42"/>
      <c r="AL3" s="42"/>
      <c r="AM3" s="42"/>
      <c r="AN3" s="42"/>
      <c r="AO3" s="42"/>
      <c r="AP3" s="42"/>
      <c r="AQ3" s="42"/>
      <c r="AR3" s="42"/>
      <c r="AS3" s="42"/>
      <c r="AT3" s="42"/>
      <c r="AU3" s="42"/>
      <c r="AV3" s="42"/>
      <c r="AW3" s="42"/>
      <c r="AX3" s="42"/>
      <c r="AY3" s="42"/>
      <c r="AZ3" s="42"/>
      <c r="BA3" s="42"/>
      <c r="BB3" s="42"/>
      <c r="BC3" s="42"/>
    </row>
    <row r="4" spans="1:58">
      <c r="A4" s="2" t="s">
        <v>133</v>
      </c>
      <c r="B4" s="43">
        <v>3322</v>
      </c>
      <c r="C4" s="43">
        <v>3328</v>
      </c>
      <c r="D4" s="43">
        <v>3317</v>
      </c>
      <c r="E4" s="43">
        <v>3269.9492643297854</v>
      </c>
      <c r="F4" s="43">
        <v>3271.9575342501644</v>
      </c>
      <c r="G4" s="43">
        <v>3274.6120000000001</v>
      </c>
      <c r="H4" s="43">
        <v>3278.375</v>
      </c>
      <c r="I4" s="43">
        <v>3283.07</v>
      </c>
      <c r="J4" s="43">
        <v>3289.0889999999999</v>
      </c>
      <c r="K4" s="43">
        <v>3337.8789999999999</v>
      </c>
      <c r="L4" s="43">
        <v>3354.7660000000001</v>
      </c>
      <c r="M4" s="43">
        <v>3356.1410000000001</v>
      </c>
      <c r="N4" s="43">
        <v>3349.9659999999999</v>
      </c>
      <c r="O4" s="43">
        <v>3372</v>
      </c>
      <c r="P4" s="43">
        <v>3388</v>
      </c>
      <c r="Q4" s="43">
        <v>3411</v>
      </c>
      <c r="R4" s="284">
        <v>1707.1563442731099</v>
      </c>
      <c r="S4" s="284">
        <v>1790.38334427311</v>
      </c>
      <c r="T4" s="284">
        <v>1873.6753442731099</v>
      </c>
      <c r="U4" s="284">
        <v>1949.37334427311</v>
      </c>
      <c r="V4" s="284">
        <v>2019.58434427311</v>
      </c>
      <c r="W4" s="284">
        <v>2083.41</v>
      </c>
      <c r="X4" s="284">
        <v>2102.3557914338917</v>
      </c>
      <c r="Y4" s="284">
        <v>2129.3468303512705</v>
      </c>
      <c r="Z4" s="284">
        <v>2136.915</v>
      </c>
      <c r="AA4" s="284">
        <v>2159</v>
      </c>
      <c r="AB4" s="284">
        <v>2164.0839708277499</v>
      </c>
      <c r="AC4" s="284">
        <v>2172.2878906290039</v>
      </c>
      <c r="AD4" s="285">
        <v>2188.6186346733548</v>
      </c>
      <c r="AE4" s="285">
        <v>2212.7831868819321</v>
      </c>
      <c r="AF4" s="285">
        <v>2245</v>
      </c>
      <c r="AG4" s="285">
        <v>2270</v>
      </c>
      <c r="AH4" s="285">
        <v>2342</v>
      </c>
      <c r="AI4" s="285">
        <v>2350</v>
      </c>
      <c r="AJ4" s="285">
        <v>2351.5050000000001</v>
      </c>
      <c r="AK4" s="285">
        <v>2414</v>
      </c>
      <c r="AL4" s="285">
        <v>2449</v>
      </c>
      <c r="AM4" s="285">
        <v>2577.92034427311</v>
      </c>
      <c r="AN4" s="285">
        <v>2793</v>
      </c>
      <c r="AO4" s="285">
        <v>3066.5153442731098</v>
      </c>
      <c r="AP4" s="285">
        <v>3351.71034427311</v>
      </c>
      <c r="AQ4" s="285">
        <v>3819</v>
      </c>
      <c r="AR4" s="285">
        <v>4160</v>
      </c>
      <c r="AS4" s="285">
        <v>4483</v>
      </c>
      <c r="AT4" s="285">
        <v>4792.8793430000005</v>
      </c>
      <c r="AU4" s="285">
        <v>5210.1793430000007</v>
      </c>
      <c r="AV4" s="285">
        <v>5642.0883430000004</v>
      </c>
      <c r="AW4" s="285">
        <v>6046.2063430000007</v>
      </c>
      <c r="AX4" s="285">
        <v>6459.5983430000006</v>
      </c>
      <c r="AY4" s="285">
        <v>6931.0943430000007</v>
      </c>
      <c r="AZ4" s="285">
        <v>7289.8523429999996</v>
      </c>
      <c r="BA4" s="285">
        <v>7620.952342999999</v>
      </c>
      <c r="BB4" s="285">
        <v>7969.242342999999</v>
      </c>
      <c r="BC4" s="285">
        <v>8552.6343429999979</v>
      </c>
      <c r="BD4" s="15"/>
      <c r="BE4" s="2" t="s">
        <v>885</v>
      </c>
    </row>
    <row r="5" spans="1:58">
      <c r="A5" s="2" t="s">
        <v>134</v>
      </c>
      <c r="B5" s="15"/>
      <c r="C5" s="15"/>
      <c r="D5" s="15"/>
      <c r="E5" s="284">
        <v>1368.5287699999999</v>
      </c>
      <c r="F5" s="284">
        <v>1371.0687699999999</v>
      </c>
      <c r="G5" s="284">
        <v>1379.5367799999999</v>
      </c>
      <c r="H5" s="284">
        <v>1382.2629999999997</v>
      </c>
      <c r="I5" s="284">
        <v>1389.9246399999997</v>
      </c>
      <c r="J5" s="284">
        <v>1405.9214099999999</v>
      </c>
      <c r="K5" s="284">
        <v>1439.2423999999999</v>
      </c>
      <c r="L5" s="284">
        <v>1455.1093999999998</v>
      </c>
      <c r="M5" s="284">
        <v>1461.6673999999998</v>
      </c>
      <c r="N5" s="284">
        <v>1461.9933999999998</v>
      </c>
      <c r="O5" s="284">
        <v>1479</v>
      </c>
      <c r="P5" s="284">
        <v>1489</v>
      </c>
      <c r="Q5" s="284">
        <v>1508</v>
      </c>
      <c r="R5" s="284">
        <v>1458.6707175699999</v>
      </c>
      <c r="S5" s="284">
        <v>1552.3017175699999</v>
      </c>
      <c r="T5" s="284">
        <v>1645.8987175699999</v>
      </c>
      <c r="U5" s="284">
        <v>1731.3987175699999</v>
      </c>
      <c r="V5" s="284">
        <v>1810.9597175699998</v>
      </c>
      <c r="W5" s="284">
        <v>1897.16571757</v>
      </c>
      <c r="X5" s="284">
        <v>1922.4577175699999</v>
      </c>
      <c r="Y5" s="284">
        <v>1965.8217175699999</v>
      </c>
      <c r="Z5" s="284">
        <v>1978.1717175699998</v>
      </c>
      <c r="AA5" s="284">
        <v>2001</v>
      </c>
      <c r="AB5" s="284">
        <v>2023.7447175699999</v>
      </c>
      <c r="AC5" s="284">
        <v>2041.7057175699999</v>
      </c>
      <c r="AD5" s="285">
        <v>2060.8917175699999</v>
      </c>
      <c r="AE5" s="285">
        <v>2119.8637175700001</v>
      </c>
      <c r="AF5" s="69"/>
      <c r="AG5" s="69"/>
      <c r="AH5" s="69"/>
      <c r="AI5" s="69"/>
      <c r="AJ5" s="69"/>
      <c r="AK5" s="69"/>
      <c r="AL5" s="69"/>
      <c r="AM5" s="69"/>
      <c r="AN5" s="69"/>
      <c r="AO5" s="69"/>
      <c r="AP5" s="69"/>
      <c r="AQ5" s="69"/>
      <c r="AR5" s="69"/>
      <c r="AS5" s="69"/>
      <c r="AT5" s="69"/>
      <c r="AU5" s="69"/>
      <c r="AV5" s="69"/>
      <c r="AW5" s="69"/>
      <c r="AX5" s="69"/>
      <c r="AY5" s="69"/>
      <c r="AZ5" s="69"/>
      <c r="BA5" s="69"/>
      <c r="BB5" s="69"/>
      <c r="BC5" s="69"/>
      <c r="BD5" s="15"/>
    </row>
    <row r="6" spans="1:58">
      <c r="A6" s="2" t="s">
        <v>371</v>
      </c>
      <c r="B6" s="15"/>
      <c r="C6" s="15"/>
      <c r="D6" s="15"/>
      <c r="E6" s="286">
        <v>0.41851682071296481</v>
      </c>
      <c r="F6" s="286">
        <v>0.41903623615158203</v>
      </c>
      <c r="G6" s="286">
        <v>0.42128251530257627</v>
      </c>
      <c r="H6" s="286">
        <v>0.42163053341975815</v>
      </c>
      <c r="I6" s="286">
        <v>0.42336125638502975</v>
      </c>
      <c r="J6" s="286">
        <v>0.42745009636406917</v>
      </c>
      <c r="K6" s="286">
        <v>0.43118471340632775</v>
      </c>
      <c r="L6" s="286">
        <v>0.43374393325793803</v>
      </c>
      <c r="M6" s="286">
        <v>0.43552025972687075</v>
      </c>
      <c r="N6" s="286">
        <v>0.43642036963957243</v>
      </c>
      <c r="O6" s="286">
        <v>0.438</v>
      </c>
      <c r="P6" s="286">
        <v>0.441</v>
      </c>
      <c r="Q6" s="286">
        <v>0.441</v>
      </c>
      <c r="R6" s="286">
        <v>0.85444471589454052</v>
      </c>
      <c r="S6" s="286">
        <v>0.86702198304923883</v>
      </c>
      <c r="T6" s="286">
        <v>0.87843324757444796</v>
      </c>
      <c r="U6" s="286">
        <v>0.8881822061723178</v>
      </c>
      <c r="V6" s="286">
        <v>0.89669922561308113</v>
      </c>
      <c r="W6" s="286">
        <v>0.91060603413154395</v>
      </c>
      <c r="X6" s="286">
        <v>0.91443024316012933</v>
      </c>
      <c r="Y6" s="286">
        <v>0.92320409693225303</v>
      </c>
      <c r="Z6" s="286">
        <v>0.92571380591647301</v>
      </c>
      <c r="AA6" s="286">
        <v>0.92700000000000005</v>
      </c>
      <c r="AB6" s="286">
        <v>0.9351507357618517</v>
      </c>
      <c r="AC6" s="286">
        <v>0.93988726189455818</v>
      </c>
      <c r="AD6" s="287">
        <v>0.94164039587352888</v>
      </c>
      <c r="AE6" s="287">
        <v>0.95800787448911051</v>
      </c>
      <c r="AF6" s="67">
        <f>MIN(AE6+0.2%,100%)</f>
        <v>0.96000787448911051</v>
      </c>
      <c r="AG6" s="67">
        <f t="shared" ref="AG6:BA6" si="0">MIN(AF6+0.2%,100%)</f>
        <v>0.96200787448911051</v>
      </c>
      <c r="AH6" s="67">
        <f t="shared" si="0"/>
        <v>0.96400787448911052</v>
      </c>
      <c r="AI6" s="67">
        <f t="shared" si="0"/>
        <v>0.96600787448911052</v>
      </c>
      <c r="AJ6" s="67">
        <f t="shared" si="0"/>
        <v>0.96800787448911052</v>
      </c>
      <c r="AK6" s="67">
        <f t="shared" si="0"/>
        <v>0.97000787448911052</v>
      </c>
      <c r="AL6" s="67">
        <f t="shared" si="0"/>
        <v>0.97200787448911052</v>
      </c>
      <c r="AM6" s="67">
        <f t="shared" si="0"/>
        <v>0.97400787448911053</v>
      </c>
      <c r="AN6" s="67">
        <f t="shared" si="0"/>
        <v>0.97600787448911053</v>
      </c>
      <c r="AO6" s="67">
        <f t="shared" si="0"/>
        <v>0.97800787448911053</v>
      </c>
      <c r="AP6" s="67">
        <f t="shared" si="0"/>
        <v>0.98000787448911053</v>
      </c>
      <c r="AQ6" s="67">
        <f t="shared" si="0"/>
        <v>0.98200787448911053</v>
      </c>
      <c r="AR6" s="67">
        <f t="shared" si="0"/>
        <v>0.98400787448911053</v>
      </c>
      <c r="AS6" s="67">
        <f t="shared" si="0"/>
        <v>0.98600787448911054</v>
      </c>
      <c r="AT6" s="67">
        <f t="shared" si="0"/>
        <v>0.98800787448911054</v>
      </c>
      <c r="AU6" s="67">
        <f t="shared" si="0"/>
        <v>0.99000787448911054</v>
      </c>
      <c r="AV6" s="67">
        <f t="shared" si="0"/>
        <v>0.99200787448911054</v>
      </c>
      <c r="AW6" s="67">
        <f t="shared" si="0"/>
        <v>0.99400787448911054</v>
      </c>
      <c r="AX6" s="67">
        <f t="shared" si="0"/>
        <v>0.99600787448911055</v>
      </c>
      <c r="AY6" s="67">
        <f t="shared" si="0"/>
        <v>0.99800787448911055</v>
      </c>
      <c r="AZ6" s="67">
        <f t="shared" si="0"/>
        <v>1</v>
      </c>
      <c r="BA6" s="67">
        <f t="shared" si="0"/>
        <v>1</v>
      </c>
      <c r="BB6" s="67">
        <f t="shared" ref="BB6:BC6" si="1">MIN(BA6+0.2%,100%)</f>
        <v>1</v>
      </c>
      <c r="BC6" s="67">
        <f t="shared" si="1"/>
        <v>1</v>
      </c>
      <c r="BD6" s="39"/>
    </row>
    <row r="7" spans="1:58">
      <c r="A7" s="2" t="s">
        <v>372</v>
      </c>
      <c r="B7" s="14"/>
      <c r="C7" s="42">
        <f t="shared" ref="C7:Q7" si="2">C4-B4</f>
        <v>6</v>
      </c>
      <c r="D7" s="42">
        <f t="shared" si="2"/>
        <v>-11</v>
      </c>
      <c r="E7" s="290">
        <v>-47.345949218750775</v>
      </c>
      <c r="F7" s="290">
        <v>2.0082699203790071</v>
      </c>
      <c r="G7" s="290">
        <v>2.6544657498355955</v>
      </c>
      <c r="H7" s="290">
        <v>3.7629999999999999</v>
      </c>
      <c r="I7" s="290">
        <v>4.6950000000000003</v>
      </c>
      <c r="J7" s="290">
        <v>6.0189999999997781</v>
      </c>
      <c r="K7" s="290">
        <v>48.789999999999964</v>
      </c>
      <c r="L7" s="290">
        <v>16.887000000000171</v>
      </c>
      <c r="M7" s="290">
        <v>1.375</v>
      </c>
      <c r="N7" s="290">
        <v>-6.1750000000001819</v>
      </c>
      <c r="O7" s="290">
        <f t="shared" si="2"/>
        <v>22.034000000000106</v>
      </c>
      <c r="P7" s="290">
        <f t="shared" si="2"/>
        <v>16</v>
      </c>
      <c r="Q7" s="290">
        <f t="shared" si="2"/>
        <v>23</v>
      </c>
      <c r="R7" s="290">
        <v>28.109000000000002</v>
      </c>
      <c r="S7" s="290">
        <v>83.227000000000004</v>
      </c>
      <c r="T7" s="290">
        <v>83.292000000000002</v>
      </c>
      <c r="U7" s="290">
        <v>75.697999999999993</v>
      </c>
      <c r="V7" s="290">
        <v>70.210999999999999</v>
      </c>
      <c r="W7" s="290">
        <v>63.825655726889849</v>
      </c>
      <c r="X7" s="290">
        <v>18.94579143389198</v>
      </c>
      <c r="Y7" s="290">
        <v>26.991038917378521</v>
      </c>
      <c r="Z7" s="290">
        <v>7.5681696487297305</v>
      </c>
      <c r="AA7" s="290">
        <v>23</v>
      </c>
      <c r="AB7" s="290">
        <v>4.6170473781195467</v>
      </c>
      <c r="AC7" s="290">
        <v>8.203919801253825</v>
      </c>
      <c r="AD7" s="290">
        <v>16.330744044350926</v>
      </c>
      <c r="AE7" s="290">
        <v>24.164552208577284</v>
      </c>
      <c r="AF7" s="290">
        <v>33</v>
      </c>
      <c r="AG7" s="290">
        <v>25</v>
      </c>
      <c r="AH7" s="290">
        <v>72</v>
      </c>
      <c r="AI7" s="290">
        <v>8</v>
      </c>
      <c r="AJ7" s="290">
        <v>1.6286557268900796</v>
      </c>
      <c r="AK7" s="290">
        <v>62.801344273109919</v>
      </c>
      <c r="AL7" s="290">
        <v>34</v>
      </c>
      <c r="AM7" s="290">
        <v>129.27500000000001</v>
      </c>
      <c r="AN7" s="290">
        <v>215</v>
      </c>
      <c r="AO7" s="290">
        <f>'[1]Trends file-6-Ops'!$C$53</f>
        <v>273.52</v>
      </c>
      <c r="AP7" s="290">
        <v>285</v>
      </c>
      <c r="AQ7" s="290">
        <v>467</v>
      </c>
      <c r="AR7" s="290">
        <v>341</v>
      </c>
      <c r="AS7" s="290">
        <v>323</v>
      </c>
      <c r="AT7" s="290">
        <v>310.02800000000002</v>
      </c>
      <c r="AU7" s="290">
        <v>417.3</v>
      </c>
      <c r="AV7" s="290">
        <v>431.90899999999999</v>
      </c>
      <c r="AW7" s="290">
        <v>404.11799999999999</v>
      </c>
      <c r="AX7" s="290">
        <v>413.392</v>
      </c>
      <c r="AY7" s="290">
        <v>471.49599999999998</v>
      </c>
      <c r="AZ7" s="290">
        <v>358.75799999999907</v>
      </c>
      <c r="BA7" s="290">
        <v>331.1</v>
      </c>
      <c r="BB7" s="290">
        <v>348.29</v>
      </c>
      <c r="BC7" s="290">
        <v>583.39199999999903</v>
      </c>
      <c r="BD7" s="42"/>
      <c r="BE7" s="2" t="s">
        <v>780</v>
      </c>
    </row>
    <row r="8" spans="1:58">
      <c r="A8" s="2" t="s">
        <v>365</v>
      </c>
      <c r="B8" s="43">
        <v>952</v>
      </c>
      <c r="C8" s="43">
        <v>955</v>
      </c>
      <c r="D8" s="43">
        <v>916</v>
      </c>
      <c r="E8" s="43">
        <v>933.23751388952462</v>
      </c>
      <c r="F8" s="43">
        <v>962.23384348972399</v>
      </c>
      <c r="G8" s="43">
        <v>970.55696816821398</v>
      </c>
      <c r="H8" s="43">
        <v>973.11689663302343</v>
      </c>
      <c r="I8" s="43">
        <v>977.52289979906891</v>
      </c>
      <c r="J8" s="43">
        <v>924.01635737619119</v>
      </c>
      <c r="K8" s="43">
        <v>944.38274127685008</v>
      </c>
      <c r="L8" s="43">
        <v>953.59281009312281</v>
      </c>
      <c r="M8" s="43">
        <v>963.13885501893276</v>
      </c>
      <c r="N8" s="43">
        <v>1009.9749160890657</v>
      </c>
      <c r="O8" s="43">
        <v>1024</v>
      </c>
      <c r="P8" s="43">
        <v>1036</v>
      </c>
      <c r="Q8" s="43">
        <v>1034</v>
      </c>
      <c r="R8" s="291">
        <v>1181.0344189867396</v>
      </c>
      <c r="S8" s="292">
        <v>1173.1600206122378</v>
      </c>
      <c r="T8" s="292">
        <v>1152.9200599039598</v>
      </c>
      <c r="U8" s="292">
        <v>1147.9718687734833</v>
      </c>
      <c r="V8" s="292">
        <v>1117.5087585668909</v>
      </c>
      <c r="W8" s="292">
        <v>1142.7754417065469</v>
      </c>
      <c r="X8" s="292">
        <v>1111.5023855151928</v>
      </c>
      <c r="Y8" s="292">
        <v>1063.6757389426505</v>
      </c>
      <c r="Z8" s="292">
        <v>1048.484497698297</v>
      </c>
      <c r="AA8" s="292">
        <v>989</v>
      </c>
      <c r="AB8" s="292">
        <v>948.40321041027755</v>
      </c>
      <c r="AC8" s="292">
        <v>929.38030181144165</v>
      </c>
      <c r="AD8" s="292">
        <v>879.05540626478296</v>
      </c>
      <c r="AE8" s="292">
        <v>846.58851771321895</v>
      </c>
      <c r="AF8" s="292">
        <v>821</v>
      </c>
      <c r="AG8" s="292">
        <v>815</v>
      </c>
      <c r="AH8" s="292">
        <v>825</v>
      </c>
      <c r="AI8" s="292">
        <v>777</v>
      </c>
      <c r="AJ8" s="292">
        <v>787.48151985409186</v>
      </c>
      <c r="AK8" s="292">
        <v>803.25811398310668</v>
      </c>
      <c r="AL8" s="292">
        <v>802</v>
      </c>
      <c r="AM8" s="292">
        <v>783.01966751210875</v>
      </c>
      <c r="AN8" s="292">
        <v>705</v>
      </c>
      <c r="AO8" s="292">
        <f>'[1]Trends file-6-Ops'!$C$54</f>
        <v>684.06609120693895</v>
      </c>
      <c r="AP8" s="292">
        <v>681</v>
      </c>
      <c r="AQ8" s="292">
        <v>661</v>
      </c>
      <c r="AR8" s="285">
        <v>657</v>
      </c>
      <c r="AS8" s="285">
        <v>650</v>
      </c>
      <c r="AT8" s="285">
        <v>652.05580827579797</v>
      </c>
      <c r="AU8" s="285">
        <v>645.91094591064473</v>
      </c>
      <c r="AV8" s="285">
        <v>623.64345311287423</v>
      </c>
      <c r="AW8" s="285">
        <v>614.25975529432208</v>
      </c>
      <c r="AX8" s="285">
        <v>608.27382741081976</v>
      </c>
      <c r="AY8" s="285">
        <v>595.01571451488178</v>
      </c>
      <c r="AZ8" s="285">
        <v>583.19809799638153</v>
      </c>
      <c r="BA8" s="285">
        <v>577.4718350863634</v>
      </c>
      <c r="BB8" s="285">
        <v>572.05131695720411</v>
      </c>
      <c r="BC8" s="285">
        <v>566.18921877202888</v>
      </c>
      <c r="BD8" s="54"/>
      <c r="BE8" s="2" t="s">
        <v>782</v>
      </c>
    </row>
    <row r="9" spans="1:58">
      <c r="A9" s="2" t="s">
        <v>366</v>
      </c>
      <c r="B9" s="17"/>
      <c r="C9" s="17"/>
      <c r="D9" s="17"/>
      <c r="E9" s="43">
        <v>18.55259981192739</v>
      </c>
      <c r="F9" s="43">
        <v>17.821785514330347</v>
      </c>
      <c r="G9" s="43">
        <v>17.584539464931378</v>
      </c>
      <c r="H9" s="43">
        <v>17.882902133341602</v>
      </c>
      <c r="I9" s="43">
        <v>18.063328264410174</v>
      </c>
      <c r="J9" s="43">
        <v>16.54155243855924</v>
      </c>
      <c r="K9" s="43">
        <v>15.050623727958405</v>
      </c>
      <c r="L9" s="43">
        <v>15.367103634079733</v>
      </c>
      <c r="M9" s="43">
        <v>15.606918799314444</v>
      </c>
      <c r="N9" s="43">
        <v>16.863114295334992</v>
      </c>
      <c r="O9" s="43">
        <v>17</v>
      </c>
      <c r="P9" s="43">
        <v>17.8</v>
      </c>
      <c r="Q9" s="43">
        <v>188.2</v>
      </c>
      <c r="R9" s="284">
        <v>18.60376709770641</v>
      </c>
      <c r="S9" s="284">
        <v>18.076133138250267</v>
      </c>
      <c r="T9" s="284">
        <v>17.507080911766998</v>
      </c>
      <c r="U9" s="285">
        <v>16.962603076297874</v>
      </c>
      <c r="V9" s="285">
        <v>16.727161432685353</v>
      </c>
      <c r="W9" s="285">
        <v>17.023742210788495</v>
      </c>
      <c r="X9" s="285">
        <v>16.43423931269383</v>
      </c>
      <c r="Y9" s="285">
        <v>15.85544497386657</v>
      </c>
      <c r="Z9" s="285">
        <v>16.270288338781278</v>
      </c>
      <c r="AA9" s="285">
        <v>15.4</v>
      </c>
      <c r="AB9" s="285">
        <v>14.662627901934258</v>
      </c>
      <c r="AC9" s="285">
        <v>14.454002283255745</v>
      </c>
      <c r="AD9" s="285">
        <v>13.081668310052949</v>
      </c>
      <c r="AE9" s="285">
        <v>12.109835635000927</v>
      </c>
      <c r="AF9" s="293">
        <v>11.44</v>
      </c>
      <c r="AG9" s="293">
        <v>11.548999999999999</v>
      </c>
      <c r="AH9" s="293">
        <v>11.840981897816896</v>
      </c>
      <c r="AI9" s="293">
        <v>11.1</v>
      </c>
      <c r="AJ9" s="293">
        <v>11.099757136605511</v>
      </c>
      <c r="AK9" s="293">
        <v>11.17783863417826</v>
      </c>
      <c r="AL9" s="293">
        <v>10.6</v>
      </c>
      <c r="AM9" s="293">
        <v>10.537913565871865</v>
      </c>
      <c r="AN9" s="293">
        <v>9.5</v>
      </c>
      <c r="AO9" s="293">
        <v>9.3000000000000007</v>
      </c>
      <c r="AP9" s="293">
        <v>9.3000000000000007</v>
      </c>
      <c r="AQ9" s="293">
        <v>8.9</v>
      </c>
      <c r="AR9" s="293">
        <v>8.8000000000000007</v>
      </c>
      <c r="AS9" s="293">
        <v>8.6999999999999993</v>
      </c>
      <c r="AT9" s="293">
        <v>8.4650507917018167</v>
      </c>
      <c r="AU9" s="293">
        <v>8.0860158476545418</v>
      </c>
      <c r="AV9" s="293">
        <v>7.5907648856185066</v>
      </c>
      <c r="AW9" s="293">
        <v>7.4656705273275197</v>
      </c>
      <c r="AX9" s="293">
        <v>7.3992962975467389</v>
      </c>
      <c r="AY9" s="293">
        <v>7.2134082748726778</v>
      </c>
      <c r="AZ9" s="293">
        <v>7.0081093373934165</v>
      </c>
      <c r="BA9" s="293">
        <v>6.9495084272027672</v>
      </c>
      <c r="BB9" s="293">
        <v>6.8612757344589141</v>
      </c>
      <c r="BC9" s="293">
        <v>6.7621342584146573</v>
      </c>
      <c r="BD9" s="54"/>
    </row>
    <row r="10" spans="1:58">
      <c r="A10" s="2" t="s">
        <v>135</v>
      </c>
      <c r="B10" s="14"/>
      <c r="C10" s="14"/>
      <c r="D10" s="16"/>
      <c r="E10" s="44">
        <v>0.55814913611937766</v>
      </c>
      <c r="F10" s="44">
        <v>0.54267189855294518</v>
      </c>
      <c r="G10" s="44">
        <v>0.55369454444502686</v>
      </c>
      <c r="H10" s="44">
        <v>0.57561179669525209</v>
      </c>
      <c r="I10" s="44">
        <v>0.58226795551397981</v>
      </c>
      <c r="J10" s="44">
        <v>0.57836869771204324</v>
      </c>
      <c r="K10" s="44">
        <v>0.59072254042467032</v>
      </c>
      <c r="L10" s="44">
        <v>0.60367079864332396</v>
      </c>
      <c r="M10" s="44">
        <v>0.61686512461971177</v>
      </c>
      <c r="N10" s="44">
        <v>0.63048545609934947</v>
      </c>
      <c r="O10" s="44">
        <v>0.64900000000000002</v>
      </c>
      <c r="P10" s="44">
        <v>0.66500000000000004</v>
      </c>
      <c r="Q10" s="44">
        <v>0.66500000000000004</v>
      </c>
      <c r="R10" s="286">
        <v>0.84314742060614967</v>
      </c>
      <c r="S10" s="286">
        <v>0.84757139791298541</v>
      </c>
      <c r="T10" s="286">
        <v>0.86217218876029245</v>
      </c>
      <c r="U10" s="287">
        <v>0.86450096661608611</v>
      </c>
      <c r="V10" s="287">
        <v>0.88428876940349732</v>
      </c>
      <c r="W10" s="287">
        <v>0.86653029524467962</v>
      </c>
      <c r="X10" s="287">
        <v>0.87935322780981273</v>
      </c>
      <c r="Y10" s="287">
        <v>0.89408103104799075</v>
      </c>
      <c r="Z10" s="287">
        <v>0.8912329101233506</v>
      </c>
      <c r="AA10" s="287">
        <v>0.90400000000000003</v>
      </c>
      <c r="AB10" s="287">
        <v>0.90200694426572248</v>
      </c>
      <c r="AC10" s="287">
        <v>0.91400033342537956</v>
      </c>
      <c r="AD10" s="287">
        <v>0.92079871867303276</v>
      </c>
      <c r="AE10" s="287">
        <v>0.92646682577647499</v>
      </c>
      <c r="AF10" s="67">
        <f t="shared" ref="AF10:BA10" si="3">MIN(AE10+0.2%,100%)</f>
        <v>0.92846682577647499</v>
      </c>
      <c r="AG10" s="67">
        <f t="shared" si="3"/>
        <v>0.93046682577647499</v>
      </c>
      <c r="AH10" s="67">
        <f t="shared" si="3"/>
        <v>0.93246682577647499</v>
      </c>
      <c r="AI10" s="67">
        <f t="shared" si="3"/>
        <v>0.934466825776475</v>
      </c>
      <c r="AJ10" s="67">
        <f t="shared" si="3"/>
        <v>0.936466825776475</v>
      </c>
      <c r="AK10" s="67">
        <f t="shared" si="3"/>
        <v>0.938466825776475</v>
      </c>
      <c r="AL10" s="67">
        <f t="shared" si="3"/>
        <v>0.940466825776475</v>
      </c>
      <c r="AM10" s="67">
        <f t="shared" si="3"/>
        <v>0.942466825776475</v>
      </c>
      <c r="AN10" s="67">
        <f t="shared" si="3"/>
        <v>0.94446682577647501</v>
      </c>
      <c r="AO10" s="67">
        <f t="shared" si="3"/>
        <v>0.94646682577647501</v>
      </c>
      <c r="AP10" s="67">
        <f t="shared" si="3"/>
        <v>0.94846682577647501</v>
      </c>
      <c r="AQ10" s="67">
        <f t="shared" si="3"/>
        <v>0.95046682577647501</v>
      </c>
      <c r="AR10" s="67">
        <f t="shared" si="3"/>
        <v>0.95246682577647501</v>
      </c>
      <c r="AS10" s="67">
        <f t="shared" si="3"/>
        <v>0.95446682577647501</v>
      </c>
      <c r="AT10" s="67">
        <f t="shared" si="3"/>
        <v>0.95646682577647502</v>
      </c>
      <c r="AU10" s="67">
        <f t="shared" si="3"/>
        <v>0.95846682577647502</v>
      </c>
      <c r="AV10" s="67">
        <f t="shared" si="3"/>
        <v>0.96046682577647502</v>
      </c>
      <c r="AW10" s="67">
        <f t="shared" si="3"/>
        <v>0.96246682577647502</v>
      </c>
      <c r="AX10" s="67">
        <f t="shared" si="3"/>
        <v>0.96446682577647502</v>
      </c>
      <c r="AY10" s="67">
        <f t="shared" si="3"/>
        <v>0.96646682577647502</v>
      </c>
      <c r="AZ10" s="67">
        <f t="shared" si="3"/>
        <v>0.96846682577647503</v>
      </c>
      <c r="BA10" s="67">
        <f t="shared" si="3"/>
        <v>0.97046682577647503</v>
      </c>
      <c r="BB10" s="67">
        <f t="shared" ref="BB10:BC10" si="4">MIN(BA10+0.2%,100%)</f>
        <v>0.97246682577647503</v>
      </c>
      <c r="BC10" s="67">
        <f t="shared" si="4"/>
        <v>0.97446682577647503</v>
      </c>
      <c r="BD10" s="55"/>
    </row>
    <row r="11" spans="1:58">
      <c r="A11" s="9"/>
      <c r="B11" s="40"/>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9"/>
    </row>
    <row r="12" spans="1:58" s="30" customFormat="1" ht="15.35">
      <c r="A12" s="508" t="s">
        <v>376</v>
      </c>
      <c r="B12" s="508"/>
      <c r="C12" s="508"/>
      <c r="D12" s="508"/>
      <c r="E12" s="508"/>
      <c r="F12" s="508"/>
      <c r="G12" s="508"/>
      <c r="H12" s="508"/>
      <c r="I12" s="508"/>
      <c r="J12" s="508"/>
      <c r="K12" s="508"/>
      <c r="L12" s="508"/>
      <c r="M12" s="508"/>
      <c r="N12" s="508"/>
      <c r="O12" s="508"/>
      <c r="P12" s="508"/>
      <c r="Q12" s="508"/>
      <c r="R12" s="508"/>
      <c r="S12" s="508"/>
      <c r="T12" s="508"/>
      <c r="U12" s="508"/>
      <c r="V12" s="508"/>
      <c r="W12" s="508"/>
      <c r="X12" s="508"/>
      <c r="Y12" s="508"/>
      <c r="Z12" s="508"/>
      <c r="AA12" s="508"/>
      <c r="AB12" s="508"/>
      <c r="AC12" s="508"/>
      <c r="AD12" s="508"/>
      <c r="AE12" s="508"/>
      <c r="AF12" s="520"/>
      <c r="AG12" s="520"/>
      <c r="AH12" s="520"/>
      <c r="AI12" s="520"/>
      <c r="AJ12" s="520"/>
      <c r="AK12" s="520"/>
      <c r="AL12" s="520"/>
      <c r="AM12" s="520"/>
      <c r="AN12" s="520"/>
      <c r="AO12" s="520"/>
      <c r="AP12" s="520"/>
      <c r="AQ12" s="520"/>
      <c r="AR12" s="520"/>
      <c r="AS12" s="520"/>
      <c r="AT12" s="520" t="s">
        <v>788</v>
      </c>
      <c r="AU12" s="520"/>
      <c r="AV12" s="520"/>
      <c r="AW12" s="520"/>
      <c r="AX12" s="520"/>
      <c r="AY12" s="520"/>
      <c r="AZ12" s="520"/>
      <c r="BA12" s="520"/>
      <c r="BB12" s="520"/>
      <c r="BC12" s="520"/>
      <c r="BD12" s="508"/>
      <c r="BE12" s="508"/>
      <c r="BF12" s="13"/>
    </row>
    <row r="13" spans="1:58">
      <c r="A13" s="2" t="s">
        <v>141</v>
      </c>
      <c r="B13" s="284">
        <v>6262</v>
      </c>
      <c r="C13" s="284">
        <v>6614</v>
      </c>
      <c r="D13" s="284">
        <v>7069</v>
      </c>
      <c r="E13" s="284">
        <v>7228.0197772258807</v>
      </c>
      <c r="F13" s="284">
        <v>7399.5877772258809</v>
      </c>
      <c r="G13" s="284">
        <v>7454.9597772258812</v>
      </c>
      <c r="H13" s="284">
        <v>7893.547777225881</v>
      </c>
      <c r="I13" s="284">
        <v>8100.4557772258813</v>
      </c>
      <c r="J13" s="284">
        <v>8451.9727772258811</v>
      </c>
      <c r="K13" s="284">
        <v>8572.4387772258815</v>
      </c>
      <c r="L13" s="284">
        <v>8807.2737772258824</v>
      </c>
      <c r="M13" s="284">
        <v>9012.1257772258814</v>
      </c>
      <c r="N13" s="284">
        <v>9388.4757772258818</v>
      </c>
      <c r="O13" s="284">
        <v>9539.6647772258821</v>
      </c>
      <c r="P13" s="284">
        <v>9809.9447772258827</v>
      </c>
      <c r="Q13" s="284">
        <v>10073.268777225881</v>
      </c>
      <c r="R13" s="284">
        <v>10412.306777225882</v>
      </c>
      <c r="S13" s="284">
        <v>10576.113777225883</v>
      </c>
      <c r="T13" s="284">
        <v>11105.991777225881</v>
      </c>
      <c r="U13" s="285">
        <v>11724.625777225881</v>
      </c>
      <c r="V13" s="285">
        <v>12148.719777225882</v>
      </c>
      <c r="W13" s="285">
        <v>12404.830777225881</v>
      </c>
      <c r="X13" s="285">
        <v>12587.686777225881</v>
      </c>
      <c r="Y13" s="285">
        <v>12815.348777225881</v>
      </c>
      <c r="Z13" s="285">
        <v>13314.376777225882</v>
      </c>
      <c r="AA13" s="285">
        <v>13521</v>
      </c>
      <c r="AB13" s="285">
        <v>13937.387777225882</v>
      </c>
      <c r="AC13" s="285">
        <v>14167.638777225882</v>
      </c>
      <c r="AD13" s="285">
        <v>14646.163777225882</v>
      </c>
      <c r="AE13" s="285">
        <v>14778.967777225882</v>
      </c>
      <c r="AF13" s="285">
        <v>15001.453777225881</v>
      </c>
      <c r="AG13" s="285">
        <v>15392.283777225883</v>
      </c>
      <c r="AH13" s="285">
        <v>16026.749777225881</v>
      </c>
      <c r="AI13" s="285">
        <v>16207</v>
      </c>
      <c r="AJ13" s="285">
        <v>16308.467777225882</v>
      </c>
      <c r="AK13" s="285">
        <v>16612.594777225881</v>
      </c>
      <c r="AL13" s="285">
        <v>16838.248777225883</v>
      </c>
      <c r="AM13" s="285">
        <v>17386.908777225883</v>
      </c>
      <c r="AN13" s="285">
        <v>17872.266584455479</v>
      </c>
      <c r="AO13" s="285">
        <v>17716.126777225883</v>
      </c>
      <c r="AP13" s="285">
        <v>17998.513777225882</v>
      </c>
      <c r="AQ13" s="285">
        <v>17987.347000000002</v>
      </c>
      <c r="AR13" s="285">
        <v>18066.136999999999</v>
      </c>
      <c r="AS13" s="285">
        <v>17558.239000000001</v>
      </c>
      <c r="AT13" s="462">
        <v>15705.246999999999</v>
      </c>
      <c r="AU13" s="462">
        <v>15770.837</v>
      </c>
      <c r="AV13" s="462">
        <v>15985.056</v>
      </c>
      <c r="AW13" s="462">
        <v>15945.659</v>
      </c>
      <c r="AX13" s="462">
        <v>15918.012000000001</v>
      </c>
      <c r="AY13" s="462">
        <v>15749.462</v>
      </c>
      <c r="AZ13" s="462">
        <v>16137.174000000001</v>
      </c>
      <c r="BA13" s="462">
        <v>16146.321</v>
      </c>
      <c r="BB13" s="462">
        <v>16340.511</v>
      </c>
      <c r="BC13" s="462">
        <v>15794.24</v>
      </c>
      <c r="BD13" s="54"/>
    </row>
    <row r="14" spans="1:58">
      <c r="A14" s="2" t="s">
        <v>373</v>
      </c>
      <c r="B14" s="284"/>
      <c r="C14" s="284"/>
      <c r="D14" s="284"/>
      <c r="E14" s="284">
        <v>159.10577722588087</v>
      </c>
      <c r="F14" s="284">
        <v>171.56800000000001</v>
      </c>
      <c r="G14" s="284">
        <v>55.372</v>
      </c>
      <c r="H14" s="284">
        <v>438.58800000000002</v>
      </c>
      <c r="I14" s="284">
        <v>206.90799999999999</v>
      </c>
      <c r="J14" s="284">
        <v>351.51699999999983</v>
      </c>
      <c r="K14" s="284">
        <v>120.46600000000035</v>
      </c>
      <c r="L14" s="284">
        <v>234.83500000000095</v>
      </c>
      <c r="M14" s="284">
        <v>204.85199999999895</v>
      </c>
      <c r="N14" s="284">
        <v>376.35000000000036</v>
      </c>
      <c r="O14" s="284">
        <v>151.18899999999999</v>
      </c>
      <c r="P14" s="284">
        <v>270.27999999999997</v>
      </c>
      <c r="Q14" s="284">
        <v>263.32400000000001</v>
      </c>
      <c r="R14" s="284">
        <v>339.03800000000001</v>
      </c>
      <c r="S14" s="284">
        <v>163.80699999999999</v>
      </c>
      <c r="T14" s="284">
        <v>529.87800000000004</v>
      </c>
      <c r="U14" s="285">
        <v>618.63400000000001</v>
      </c>
      <c r="V14" s="285">
        <v>424.09399999999999</v>
      </c>
      <c r="W14" s="285">
        <v>256.11099999999999</v>
      </c>
      <c r="X14" s="285">
        <v>182.85599999999999</v>
      </c>
      <c r="Y14" s="285">
        <v>227.66200000000001</v>
      </c>
      <c r="Z14" s="285">
        <v>499.02800000000002</v>
      </c>
      <c r="AA14" s="285">
        <v>207</v>
      </c>
      <c r="AB14" s="285">
        <v>416.30200000000002</v>
      </c>
      <c r="AC14" s="285">
        <v>230.251</v>
      </c>
      <c r="AD14" s="285">
        <v>478.52499999999998</v>
      </c>
      <c r="AE14" s="285">
        <v>132.804</v>
      </c>
      <c r="AF14" s="285">
        <v>222.48599999999999</v>
      </c>
      <c r="AG14" s="285">
        <v>390.83</v>
      </c>
      <c r="AH14" s="285">
        <v>634.46600000000001</v>
      </c>
      <c r="AI14" s="285">
        <v>181</v>
      </c>
      <c r="AJ14" s="285">
        <v>101.21</v>
      </c>
      <c r="AK14" s="285">
        <v>304.12700000000001</v>
      </c>
      <c r="AL14" s="285">
        <v>225.654</v>
      </c>
      <c r="AM14" s="285">
        <v>548.66</v>
      </c>
      <c r="AN14" s="285">
        <v>485.35780722959714</v>
      </c>
      <c r="AO14" s="285">
        <v>-156.13980722959712</v>
      </c>
      <c r="AP14" s="285">
        <v>282.387</v>
      </c>
      <c r="AQ14" s="285">
        <v>-11.166777225881814</v>
      </c>
      <c r="AR14" s="285">
        <v>78.790000000000006</v>
      </c>
      <c r="AS14" s="285">
        <v>-507.89800000000002</v>
      </c>
      <c r="AT14" s="462">
        <v>-322.36799999999999</v>
      </c>
      <c r="AU14" s="462">
        <v>65.59</v>
      </c>
      <c r="AV14" s="462">
        <v>214.21899999999999</v>
      </c>
      <c r="AW14" s="462">
        <v>-39.396999999999998</v>
      </c>
      <c r="AX14" s="462">
        <v>-27.646999999999998</v>
      </c>
      <c r="AY14" s="462">
        <v>-168.55</v>
      </c>
      <c r="AZ14" s="462">
        <v>387.71199999999999</v>
      </c>
      <c r="BA14" s="462">
        <v>9.1470000000000002</v>
      </c>
      <c r="BB14" s="462">
        <v>194.19</v>
      </c>
      <c r="BC14" s="462">
        <v>-546.27099999999996</v>
      </c>
      <c r="BD14" s="54"/>
    </row>
    <row r="15" spans="1:58">
      <c r="A15" s="2" t="s">
        <v>374</v>
      </c>
      <c r="B15" s="284">
        <v>163</v>
      </c>
      <c r="C15" s="284">
        <v>161</v>
      </c>
      <c r="D15" s="284">
        <v>160</v>
      </c>
      <c r="E15" s="284">
        <v>166.17193632181494</v>
      </c>
      <c r="F15" s="284">
        <v>166.34343359723712</v>
      </c>
      <c r="G15" s="284">
        <v>176.73450748632229</v>
      </c>
      <c r="H15" s="284">
        <v>185.97366438796919</v>
      </c>
      <c r="I15" s="284">
        <v>184.38222315112571</v>
      </c>
      <c r="J15" s="284">
        <v>197.1026239897773</v>
      </c>
      <c r="K15" s="284">
        <v>198.4248603321588</v>
      </c>
      <c r="L15" s="284">
        <v>206.63690359648635</v>
      </c>
      <c r="M15" s="284">
        <v>203.11756187261074</v>
      </c>
      <c r="N15" s="284">
        <v>214.22743565822466</v>
      </c>
      <c r="O15" s="284">
        <v>220.41874406379915</v>
      </c>
      <c r="P15" s="284">
        <v>214.43612435741704</v>
      </c>
      <c r="Q15" s="284">
        <v>213.54865349263937</v>
      </c>
      <c r="R15" s="284">
        <v>222.41860865533064</v>
      </c>
      <c r="S15" s="284">
        <v>224.32426710319953</v>
      </c>
      <c r="T15" s="284">
        <v>228.53933265450132</v>
      </c>
      <c r="U15" s="285">
        <v>229.09920917329472</v>
      </c>
      <c r="V15" s="285">
        <v>233.11766255382148</v>
      </c>
      <c r="W15" s="285">
        <v>231.92547338937504</v>
      </c>
      <c r="X15" s="285">
        <v>232.21084060015164</v>
      </c>
      <c r="Y15" s="285">
        <v>227.53435393087886</v>
      </c>
      <c r="Z15" s="285">
        <v>228.26817604298958</v>
      </c>
      <c r="AA15" s="285">
        <v>233</v>
      </c>
      <c r="AB15" s="285">
        <v>233.4872095396685</v>
      </c>
      <c r="AC15" s="285">
        <v>227.72979631553901</v>
      </c>
      <c r="AD15" s="285">
        <v>228.9316499706234</v>
      </c>
      <c r="AE15" s="285">
        <v>231.80535391645742</v>
      </c>
      <c r="AF15" s="285">
        <v>231.16085567414214</v>
      </c>
      <c r="AG15" s="285">
        <v>232.65856737321852</v>
      </c>
      <c r="AH15" s="285">
        <v>156.57654358260757</v>
      </c>
      <c r="AI15" s="285">
        <v>162</v>
      </c>
      <c r="AJ15" s="285">
        <v>162.46205784245794</v>
      </c>
      <c r="AK15" s="285">
        <v>122.65647839875182</v>
      </c>
      <c r="AL15" s="285">
        <v>148.78737382368561</v>
      </c>
      <c r="AM15" s="285">
        <v>147.74965710473782</v>
      </c>
      <c r="AN15" s="285">
        <v>148.89064853169856</v>
      </c>
      <c r="AO15" s="285">
        <v>143.83367944917575</v>
      </c>
      <c r="AP15" s="285">
        <v>150.73213838392522</v>
      </c>
      <c r="AQ15" s="285">
        <v>147.79462519114006</v>
      </c>
      <c r="AR15" s="285">
        <v>145.98991833253771</v>
      </c>
      <c r="AS15" s="285">
        <v>141.73458747850034</v>
      </c>
      <c r="AT15" s="462">
        <v>157.58709845704288</v>
      </c>
      <c r="AU15" s="462">
        <v>154.96252504091342</v>
      </c>
      <c r="AV15" s="462">
        <v>153.9993376767836</v>
      </c>
      <c r="AW15" s="462">
        <v>152.55903994199357</v>
      </c>
      <c r="AX15" s="462">
        <v>153.84560873706252</v>
      </c>
      <c r="AY15" s="462">
        <v>158.95802065141902</v>
      </c>
      <c r="AZ15" s="462">
        <v>162.97802204201233</v>
      </c>
      <c r="BA15" s="462">
        <v>160.07840843104452</v>
      </c>
      <c r="BB15" s="462">
        <v>159.15326568388906</v>
      </c>
      <c r="BC15" s="462">
        <v>157.82629210205906</v>
      </c>
      <c r="BD15" s="54"/>
    </row>
    <row r="16" spans="1:58">
      <c r="A16" s="2" t="s">
        <v>375</v>
      </c>
      <c r="B16" s="284"/>
      <c r="C16" s="284"/>
      <c r="D16" s="284"/>
      <c r="E16" s="288">
        <v>3.3034692547910862</v>
      </c>
      <c r="F16" s="288">
        <v>3.0808903837093853</v>
      </c>
      <c r="G16" s="288">
        <v>3.2020736789659634</v>
      </c>
      <c r="H16" s="288">
        <v>3.4176252114581853</v>
      </c>
      <c r="I16" s="288">
        <v>3.4071392328354797</v>
      </c>
      <c r="J16" s="288">
        <v>3.528490988798739</v>
      </c>
      <c r="K16" s="288">
        <v>3.162296154517017</v>
      </c>
      <c r="L16" s="288">
        <v>3.3299440584943749</v>
      </c>
      <c r="M16" s="288">
        <v>3.2913626922446699</v>
      </c>
      <c r="N16" s="288">
        <v>3.576862826148238</v>
      </c>
      <c r="O16" s="288">
        <v>3.6442749032734376</v>
      </c>
      <c r="P16" s="288">
        <v>3.4650593898615134</v>
      </c>
      <c r="Q16" s="288">
        <v>3.4366016908622417</v>
      </c>
      <c r="R16" s="288">
        <v>3.5035591910773403</v>
      </c>
      <c r="S16" s="288">
        <v>3.4564042816441258</v>
      </c>
      <c r="T16" s="288">
        <v>3.470367744869391</v>
      </c>
      <c r="U16" s="289">
        <v>3.3852039897566035</v>
      </c>
      <c r="V16" s="289">
        <v>3.4893657382593428</v>
      </c>
      <c r="W16" s="289">
        <v>3.4549565268918996</v>
      </c>
      <c r="X16" s="289">
        <v>3.4333786190263917</v>
      </c>
      <c r="Y16" s="289">
        <v>3.3916900577252354</v>
      </c>
      <c r="Z16" s="289">
        <v>3.5422450698511243</v>
      </c>
      <c r="AA16" s="289">
        <v>3.6</v>
      </c>
      <c r="AB16" s="289">
        <v>3.6097896293076634</v>
      </c>
      <c r="AC16" s="289">
        <v>3.5417223600441532</v>
      </c>
      <c r="AD16" s="289">
        <v>3.4068477245526014</v>
      </c>
      <c r="AE16" s="289">
        <v>3.315807711193679</v>
      </c>
      <c r="AF16" s="289">
        <v>3.2212303087647833</v>
      </c>
      <c r="AG16" s="289">
        <v>3.2964977134811875</v>
      </c>
      <c r="AH16" s="289">
        <v>2.2481824983443506</v>
      </c>
      <c r="AI16" s="289">
        <v>2.2999999999999998</v>
      </c>
      <c r="AJ16" s="289">
        <v>2.2899450215651553</v>
      </c>
      <c r="AK16" s="289">
        <v>1.706841548327831</v>
      </c>
      <c r="AL16" s="289">
        <v>1.9626783399848602</v>
      </c>
      <c r="AM16" s="289">
        <v>1.9884214669906175</v>
      </c>
      <c r="AN16" s="289">
        <v>2.0143609260468249</v>
      </c>
      <c r="AO16" s="289">
        <v>1.9633986888601949</v>
      </c>
      <c r="AP16" s="289">
        <v>2.0531750917819021</v>
      </c>
      <c r="AQ16" s="289">
        <v>1.9957525724760237</v>
      </c>
      <c r="AR16" s="289">
        <v>1.9548839430572305</v>
      </c>
      <c r="AS16" s="289">
        <v>1.8855624595264009</v>
      </c>
      <c r="AT16" s="463">
        <v>2.0421874766298926</v>
      </c>
      <c r="AU16" s="463">
        <v>1.9399414752242543</v>
      </c>
      <c r="AV16" s="463">
        <v>1.8744248159915531</v>
      </c>
      <c r="AW16" s="463">
        <v>1.8541920064852591</v>
      </c>
      <c r="AX16" s="463">
        <v>1.871442090427385</v>
      </c>
      <c r="AY16" s="463">
        <v>1.927056838253723</v>
      </c>
      <c r="AZ16" s="463">
        <v>1.9584559723128989</v>
      </c>
      <c r="BA16" s="463">
        <v>1.9264424354797776</v>
      </c>
      <c r="BB16" s="463">
        <v>1.9089099308523296</v>
      </c>
      <c r="BC16" s="463">
        <v>1.8849574335176593</v>
      </c>
      <c r="BD16" s="56"/>
    </row>
    <row r="17" spans="1:58">
      <c r="A17" s="2" t="s">
        <v>364</v>
      </c>
      <c r="B17" s="284"/>
      <c r="C17" s="284"/>
      <c r="D17" s="284"/>
      <c r="E17" s="286">
        <v>1.1564682357985192E-2</v>
      </c>
      <c r="F17" s="286">
        <v>1.6615169916126719E-2</v>
      </c>
      <c r="G17" s="286">
        <v>1.919465670907327E-2</v>
      </c>
      <c r="H17" s="286">
        <v>1.2623591254560694E-2</v>
      </c>
      <c r="I17" s="286">
        <v>1.1177961869438804E-2</v>
      </c>
      <c r="J17" s="286">
        <v>6.288598920960356E-3</v>
      </c>
      <c r="K17" s="286">
        <v>1.0282667189277206E-2</v>
      </c>
      <c r="L17" s="286">
        <v>8.492872981031109E-3</v>
      </c>
      <c r="M17" s="286">
        <v>8.9881123519063993E-3</v>
      </c>
      <c r="N17" s="286">
        <v>6.1773193216517249E-3</v>
      </c>
      <c r="O17" s="286">
        <v>1.143018832265597E-2</v>
      </c>
      <c r="P17" s="286">
        <v>9.6705370920414317E-3</v>
      </c>
      <c r="Q17" s="286">
        <v>9.7445882654950879E-3</v>
      </c>
      <c r="R17" s="286">
        <v>8.3687681541051873E-3</v>
      </c>
      <c r="S17" s="286">
        <v>1.3100187157931332E-2</v>
      </c>
      <c r="T17" s="286">
        <v>7.0544305062944989E-3</v>
      </c>
      <c r="U17" s="287">
        <v>8.2348221261832975E-3</v>
      </c>
      <c r="V17" s="287">
        <v>8.4426781449576643E-3</v>
      </c>
      <c r="W17" s="287">
        <v>1.2251925123715283E-2</v>
      </c>
      <c r="X17" s="287">
        <v>1.3436788038536722E-2</v>
      </c>
      <c r="Y17" s="287">
        <v>1.1542079575245029E-2</v>
      </c>
      <c r="Z17" s="287">
        <v>9.1814275940929266E-3</v>
      </c>
      <c r="AA17" s="287">
        <v>1.4E-2</v>
      </c>
      <c r="AB17" s="287">
        <v>1.227298615898898E-2</v>
      </c>
      <c r="AC17" s="287">
        <v>1.0970739906525891E-2</v>
      </c>
      <c r="AD17" s="287">
        <v>7.248664236760914E-3</v>
      </c>
      <c r="AE17" s="287">
        <v>1.3384920315116506E-2</v>
      </c>
      <c r="AF17" s="287">
        <v>1.3065717050202855E-2</v>
      </c>
      <c r="AG17" s="287">
        <v>8.0600765136495025E-3</v>
      </c>
      <c r="AH17" s="287">
        <v>9.727590525595806E-3</v>
      </c>
      <c r="AI17" s="287">
        <v>1.6E-2</v>
      </c>
      <c r="AJ17" s="287">
        <v>1.7894445304058287E-2</v>
      </c>
      <c r="AK17" s="287">
        <v>1.0483147700039311E-2</v>
      </c>
      <c r="AL17" s="287">
        <v>1.3280954031544751E-2</v>
      </c>
      <c r="AM17" s="287">
        <v>1.5179010914559693E-2</v>
      </c>
      <c r="AN17" s="287">
        <v>1.4211244409713107E-2</v>
      </c>
      <c r="AO17" s="287">
        <v>2.1582760014622115E-2</v>
      </c>
      <c r="AP17" s="287">
        <v>1.3584786904713658E-2</v>
      </c>
      <c r="AQ17" s="287">
        <v>2.1658577768078276E-2</v>
      </c>
      <c r="AR17" s="287">
        <v>2.0534765361169882E-2</v>
      </c>
      <c r="AS17" s="287">
        <v>2.1251352683499924E-2</v>
      </c>
      <c r="AT17" s="464">
        <v>2.4192220242015311E-2</v>
      </c>
      <c r="AU17" s="464">
        <v>2.2681343671131855E-2</v>
      </c>
      <c r="AV17" s="464">
        <v>2.0184645935426241E-2</v>
      </c>
      <c r="AW17" s="464">
        <v>2.3240501812834321E-2</v>
      </c>
      <c r="AX17" s="464">
        <v>2.2071827686368822E-2</v>
      </c>
      <c r="AY17" s="464">
        <v>2.6644811786419847E-2</v>
      </c>
      <c r="AZ17" s="464">
        <v>1.8132139770888425E-2</v>
      </c>
      <c r="BA17" s="464">
        <v>2.3497643441507E-2</v>
      </c>
      <c r="BB17" s="464">
        <v>2.0309824912336349E-2</v>
      </c>
      <c r="BC17" s="464">
        <v>3.7461897578873742E-2</v>
      </c>
      <c r="BD17" s="55"/>
    </row>
    <row r="18" spans="1:58">
      <c r="B18" s="15"/>
      <c r="C18" s="15"/>
      <c r="D18" s="15"/>
      <c r="E18" s="15"/>
      <c r="F18" s="15"/>
      <c r="G18" s="15"/>
      <c r="H18" s="15"/>
      <c r="I18" s="15"/>
      <c r="J18" s="15"/>
      <c r="K18" s="15"/>
      <c r="L18" s="15"/>
      <c r="M18" s="15"/>
      <c r="N18" s="15"/>
      <c r="O18" s="15"/>
      <c r="P18" s="15"/>
      <c r="Q18" s="15"/>
      <c r="R18" s="15"/>
      <c r="S18" s="15"/>
      <c r="T18" s="15"/>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row>
    <row r="19" spans="1:58" s="30" customFormat="1" ht="15.35">
      <c r="A19" s="508" t="s">
        <v>378</v>
      </c>
      <c r="B19" s="508"/>
      <c r="C19" s="508"/>
      <c r="D19" s="508"/>
      <c r="E19" s="508"/>
      <c r="F19" s="508"/>
      <c r="G19" s="508"/>
      <c r="H19" s="508"/>
      <c r="I19" s="508"/>
      <c r="J19" s="508"/>
      <c r="K19" s="508"/>
      <c r="L19" s="508"/>
      <c r="M19" s="508"/>
      <c r="N19" s="508"/>
      <c r="O19" s="508"/>
      <c r="P19" s="508"/>
      <c r="Q19" s="508"/>
      <c r="R19" s="508"/>
      <c r="S19" s="508"/>
      <c r="T19" s="508"/>
      <c r="U19" s="508"/>
      <c r="V19" s="508"/>
      <c r="W19" s="508"/>
      <c r="X19" s="508"/>
      <c r="Y19" s="508"/>
      <c r="Z19" s="508"/>
      <c r="AA19" s="508"/>
      <c r="AB19" s="508"/>
      <c r="AC19" s="508"/>
      <c r="AD19" s="508"/>
      <c r="AE19" s="508"/>
      <c r="AF19" s="520"/>
      <c r="AG19" s="520"/>
      <c r="AH19" s="520"/>
      <c r="AI19" s="520"/>
      <c r="AJ19" s="520"/>
      <c r="AK19" s="520"/>
      <c r="AL19" s="520"/>
      <c r="AM19" s="520"/>
      <c r="AN19" s="520"/>
      <c r="AO19" s="520"/>
      <c r="AP19" s="520"/>
      <c r="AQ19" s="520"/>
      <c r="AR19" s="520"/>
      <c r="AS19" s="520"/>
      <c r="AT19" s="520"/>
      <c r="AU19" s="520"/>
      <c r="AV19" s="520"/>
      <c r="AW19" s="520"/>
      <c r="AX19" s="520"/>
      <c r="AY19" s="520"/>
      <c r="AZ19" s="520"/>
      <c r="BA19" s="520"/>
      <c r="BB19" s="520"/>
      <c r="BC19" s="520"/>
      <c r="BD19" s="508"/>
      <c r="BE19" s="508"/>
      <c r="BF19" s="13"/>
    </row>
    <row r="20" spans="1:58">
      <c r="A20" s="9" t="s">
        <v>377</v>
      </c>
      <c r="B20" s="41"/>
      <c r="C20" s="41"/>
      <c r="D20" s="41"/>
      <c r="E20" s="41"/>
      <c r="F20" s="41"/>
      <c r="G20" s="41"/>
      <c r="H20" s="41"/>
      <c r="I20" s="41"/>
      <c r="J20" s="41"/>
      <c r="K20" s="41"/>
      <c r="L20" s="41"/>
      <c r="M20" s="41"/>
      <c r="N20" s="41"/>
      <c r="O20" s="41"/>
      <c r="P20" s="41"/>
      <c r="Q20" s="41"/>
      <c r="R20" s="41"/>
      <c r="S20" s="41"/>
      <c r="T20" s="294">
        <v>1723.7866557268901</v>
      </c>
      <c r="U20" s="294">
        <v>1714.2756557268901</v>
      </c>
      <c r="V20" s="294">
        <v>1711.8826557268901</v>
      </c>
      <c r="W20" s="294">
        <v>1713.8790000000001</v>
      </c>
      <c r="X20" s="294">
        <v>1727.7522085661078</v>
      </c>
      <c r="Y20" s="294">
        <v>1736.4171696487297</v>
      </c>
      <c r="Z20" s="294">
        <v>1742.5889999999999</v>
      </c>
      <c r="AA20" s="294">
        <v>1714</v>
      </c>
      <c r="AB20" s="294">
        <v>1749.0570291722502</v>
      </c>
      <c r="AC20" s="294">
        <v>1760.2451093709963</v>
      </c>
      <c r="AD20" s="294">
        <v>1766.4873653266454</v>
      </c>
      <c r="AE20" s="294">
        <v>1783.133813118068</v>
      </c>
      <c r="AF20" s="295">
        <v>1797</v>
      </c>
      <c r="AG20" s="295">
        <v>1904</v>
      </c>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41"/>
      <c r="BE20" s="9"/>
    </row>
    <row r="21" spans="1:58">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BD21" s="14"/>
    </row>
    <row r="22" spans="1:58" s="30" customFormat="1" ht="15.35">
      <c r="A22" s="508" t="s">
        <v>142</v>
      </c>
      <c r="B22" s="508"/>
      <c r="C22" s="508"/>
      <c r="D22" s="508"/>
      <c r="E22" s="508"/>
      <c r="F22" s="508"/>
      <c r="G22" s="508"/>
      <c r="H22" s="508"/>
      <c r="I22" s="508"/>
      <c r="J22" s="508"/>
      <c r="K22" s="508"/>
      <c r="L22" s="508"/>
      <c r="M22" s="508"/>
      <c r="N22" s="508"/>
      <c r="O22" s="508"/>
      <c r="P22" s="508"/>
      <c r="Q22" s="508"/>
      <c r="R22" s="508"/>
      <c r="S22" s="508"/>
      <c r="T22" s="508"/>
      <c r="U22" s="508"/>
      <c r="V22" s="508"/>
      <c r="W22" s="508"/>
      <c r="X22" s="508"/>
      <c r="Y22" s="508"/>
      <c r="Z22" s="508"/>
      <c r="AA22" s="508"/>
      <c r="AB22" s="508"/>
      <c r="AC22" s="508"/>
      <c r="AD22" s="508"/>
      <c r="AE22" s="508"/>
      <c r="AF22" s="520"/>
      <c r="AG22" s="520"/>
      <c r="AH22" s="520"/>
      <c r="AI22" s="520"/>
      <c r="AJ22" s="520"/>
      <c r="AK22" s="520"/>
      <c r="AL22" s="520"/>
      <c r="AM22" s="520"/>
      <c r="AN22" s="520"/>
      <c r="AO22" s="520"/>
      <c r="AP22" s="520"/>
      <c r="AQ22" s="520"/>
      <c r="AR22" s="520"/>
      <c r="AS22" s="520"/>
      <c r="AT22" s="520"/>
      <c r="AU22" s="520"/>
      <c r="AV22" s="520"/>
      <c r="AW22" s="520"/>
      <c r="AX22" s="520"/>
      <c r="AY22" s="520"/>
      <c r="AZ22" s="520"/>
      <c r="BA22" s="520"/>
      <c r="BB22" s="520"/>
      <c r="BC22" s="520"/>
      <c r="BD22" s="508"/>
      <c r="BE22" s="508"/>
      <c r="BF22" s="13"/>
    </row>
    <row r="23" spans="1:58">
      <c r="A23" s="2" t="s">
        <v>143</v>
      </c>
      <c r="B23" s="14"/>
      <c r="C23" s="15"/>
      <c r="D23" s="15"/>
      <c r="E23" s="284">
        <v>120905</v>
      </c>
      <c r="F23" s="284">
        <v>126010</v>
      </c>
      <c r="G23" s="284">
        <v>129411</v>
      </c>
      <c r="H23" s="284">
        <v>131450</v>
      </c>
      <c r="I23" s="284">
        <v>133778</v>
      </c>
      <c r="J23" s="284">
        <v>134736</v>
      </c>
      <c r="K23" s="284">
        <v>135412</v>
      </c>
      <c r="L23" s="284">
        <v>137069</v>
      </c>
      <c r="M23" s="284">
        <v>138755</v>
      </c>
      <c r="N23" s="284">
        <v>139894</v>
      </c>
      <c r="O23" s="284">
        <v>141290</v>
      </c>
      <c r="P23" s="284">
        <v>142898</v>
      </c>
      <c r="Q23" s="284">
        <v>146539</v>
      </c>
      <c r="R23" s="284">
        <v>147616</v>
      </c>
      <c r="S23" s="284">
        <v>149518</v>
      </c>
      <c r="T23" s="284">
        <v>151200</v>
      </c>
      <c r="U23" s="284">
        <v>154097</v>
      </c>
      <c r="V23" s="284">
        <v>157055</v>
      </c>
      <c r="W23" s="284">
        <v>158934</v>
      </c>
      <c r="X23" s="284">
        <v>160199</v>
      </c>
      <c r="Y23" s="284">
        <v>162046</v>
      </c>
      <c r="Z23" s="284">
        <v>162380</v>
      </c>
      <c r="AA23" s="284">
        <v>162954</v>
      </c>
      <c r="AB23" s="284">
        <v>163808</v>
      </c>
      <c r="AC23" s="284">
        <v>165748</v>
      </c>
      <c r="AD23" s="285">
        <v>167355</v>
      </c>
      <c r="AE23" s="285">
        <v>171031</v>
      </c>
      <c r="AF23" s="285">
        <v>175300</v>
      </c>
      <c r="AG23" s="285">
        <v>181079</v>
      </c>
      <c r="AH23" s="285">
        <v>182600</v>
      </c>
      <c r="AI23" s="285">
        <v>185582</v>
      </c>
      <c r="AJ23" s="285">
        <v>189857</v>
      </c>
      <c r="AK23" s="285">
        <v>194409</v>
      </c>
      <c r="AL23" s="285">
        <v>196145</v>
      </c>
      <c r="AM23" s="285">
        <v>201192</v>
      </c>
      <c r="AN23" s="298"/>
      <c r="AO23" s="298"/>
      <c r="AP23" s="298"/>
      <c r="AQ23" s="298"/>
      <c r="AR23" s="298"/>
      <c r="AS23" s="298"/>
      <c r="AT23" s="298"/>
      <c r="AU23" s="298"/>
      <c r="AV23" s="298"/>
      <c r="AW23" s="298"/>
      <c r="AX23" s="298"/>
      <c r="AY23" s="298"/>
      <c r="AZ23" s="298"/>
      <c r="BA23" s="298"/>
      <c r="BB23" s="298"/>
      <c r="BC23" s="298"/>
      <c r="BD23" s="15"/>
    </row>
    <row r="24" spans="1:58">
      <c r="A24" s="2" t="s">
        <v>144</v>
      </c>
      <c r="B24" s="14"/>
      <c r="C24" s="15"/>
      <c r="D24" s="15"/>
      <c r="E24" s="284">
        <v>16162</v>
      </c>
      <c r="F24" s="284">
        <v>18012</v>
      </c>
      <c r="G24" s="284">
        <v>20333</v>
      </c>
      <c r="H24" s="284">
        <v>22515</v>
      </c>
      <c r="I24" s="284">
        <v>24573</v>
      </c>
      <c r="J24" s="284">
        <v>25604</v>
      </c>
      <c r="K24" s="284">
        <v>26616</v>
      </c>
      <c r="L24" s="284">
        <v>28179</v>
      </c>
      <c r="M24" s="284">
        <v>31301</v>
      </c>
      <c r="N24" s="284">
        <v>34564</v>
      </c>
      <c r="O24" s="284">
        <v>38055</v>
      </c>
      <c r="P24" s="284">
        <v>41850</v>
      </c>
      <c r="Q24" s="284">
        <v>48825</v>
      </c>
      <c r="R24" s="284">
        <v>52886</v>
      </c>
      <c r="S24" s="284">
        <v>62447</v>
      </c>
      <c r="T24" s="284">
        <v>88376</v>
      </c>
      <c r="U24" s="284">
        <v>105465</v>
      </c>
      <c r="V24" s="284">
        <v>108015</v>
      </c>
      <c r="W24" s="284">
        <v>110382</v>
      </c>
      <c r="X24" s="284">
        <v>113367</v>
      </c>
      <c r="Y24" s="284">
        <v>116717</v>
      </c>
      <c r="Z24" s="284">
        <v>120132</v>
      </c>
      <c r="AA24" s="284">
        <v>123181</v>
      </c>
      <c r="AB24" s="284">
        <v>130334</v>
      </c>
      <c r="AC24" s="284">
        <v>144708</v>
      </c>
      <c r="AD24" s="285">
        <v>146428</v>
      </c>
      <c r="AE24" s="285">
        <v>154531</v>
      </c>
      <c r="AF24" s="285">
        <v>164859</v>
      </c>
      <c r="AG24" s="285">
        <v>172627</v>
      </c>
      <c r="AH24" s="285">
        <v>177141</v>
      </c>
      <c r="AI24" s="285">
        <v>181825</v>
      </c>
      <c r="AJ24" s="285">
        <v>187240</v>
      </c>
      <c r="AK24" s="285">
        <v>192068</v>
      </c>
      <c r="AL24" s="285">
        <v>194205</v>
      </c>
      <c r="AM24" s="285">
        <v>199464</v>
      </c>
      <c r="AN24" s="298"/>
      <c r="AO24" s="298"/>
      <c r="AP24" s="298"/>
      <c r="AQ24" s="298"/>
      <c r="AR24" s="298"/>
      <c r="AS24" s="298"/>
      <c r="AT24" s="298"/>
      <c r="AU24" s="298"/>
      <c r="AV24" s="298"/>
      <c r="AW24" s="298"/>
      <c r="AX24" s="298"/>
      <c r="AY24" s="298"/>
      <c r="AZ24" s="298"/>
      <c r="BA24" s="298"/>
      <c r="BB24" s="298"/>
      <c r="BC24" s="298"/>
      <c r="BD24" s="15"/>
    </row>
    <row r="25" spans="1:58">
      <c r="A25" s="2" t="s">
        <v>502</v>
      </c>
      <c r="B25" s="14"/>
      <c r="C25" s="15"/>
      <c r="D25" s="15"/>
      <c r="E25" s="284"/>
      <c r="F25" s="284"/>
      <c r="G25" s="284"/>
      <c r="H25" s="284"/>
      <c r="I25" s="284"/>
      <c r="J25" s="284"/>
      <c r="K25" s="284"/>
      <c r="L25" s="284"/>
      <c r="M25" s="284"/>
      <c r="N25" s="284"/>
      <c r="O25" s="284"/>
      <c r="P25" s="284"/>
      <c r="Q25" s="284"/>
      <c r="R25" s="284"/>
      <c r="S25" s="284"/>
      <c r="T25" s="284">
        <v>99297</v>
      </c>
      <c r="U25" s="284">
        <v>118197</v>
      </c>
      <c r="V25" s="285">
        <v>137567</v>
      </c>
      <c r="W25" s="285">
        <v>148078</v>
      </c>
      <c r="X25" s="285">
        <v>170844</v>
      </c>
      <c r="Y25" s="285">
        <v>190860</v>
      </c>
      <c r="Z25" s="285">
        <v>203506</v>
      </c>
      <c r="AA25" s="285">
        <v>226132</v>
      </c>
      <c r="AB25" s="285">
        <v>259002</v>
      </c>
      <c r="AC25" s="285">
        <v>298014</v>
      </c>
      <c r="AD25" s="285">
        <v>320204</v>
      </c>
      <c r="AE25" s="285">
        <v>347642</v>
      </c>
      <c r="AF25" s="285">
        <v>371562</v>
      </c>
      <c r="AG25" s="285">
        <v>417613</v>
      </c>
      <c r="AH25" s="285">
        <v>443804</v>
      </c>
      <c r="AI25" s="285">
        <v>461891</v>
      </c>
      <c r="AJ25" s="285">
        <v>473859</v>
      </c>
      <c r="AK25" s="285">
        <v>503883</v>
      </c>
      <c r="AL25" s="285">
        <v>506957</v>
      </c>
      <c r="AM25" s="285">
        <v>537206</v>
      </c>
      <c r="AN25" s="298"/>
      <c r="AO25" s="298"/>
      <c r="AP25" s="298"/>
      <c r="AQ25" s="298"/>
      <c r="AR25" s="298"/>
      <c r="AS25" s="298"/>
      <c r="AT25" s="298"/>
      <c r="AU25" s="298"/>
      <c r="AV25" s="298"/>
      <c r="AW25" s="298"/>
      <c r="AX25" s="298"/>
      <c r="AY25" s="298"/>
      <c r="AZ25" s="298"/>
      <c r="BA25" s="298"/>
      <c r="BB25" s="298"/>
      <c r="BC25" s="298"/>
      <c r="BD25" s="15"/>
    </row>
    <row r="26" spans="1:58">
      <c r="B26" s="14"/>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15"/>
    </row>
    <row r="27" spans="1:58">
      <c r="A27" s="2" t="s">
        <v>147</v>
      </c>
      <c r="B27" s="14"/>
      <c r="C27" s="15"/>
      <c r="D27" s="15"/>
      <c r="E27" s="15">
        <f t="shared" ref="E27:AC27" si="5">E23-D23</f>
        <v>120905</v>
      </c>
      <c r="F27" s="15">
        <f t="shared" si="5"/>
        <v>5105</v>
      </c>
      <c r="G27" s="15">
        <f t="shared" si="5"/>
        <v>3401</v>
      </c>
      <c r="H27" s="15">
        <f t="shared" si="5"/>
        <v>2039</v>
      </c>
      <c r="I27" s="15">
        <f t="shared" si="5"/>
        <v>2328</v>
      </c>
      <c r="J27" s="15">
        <f t="shared" si="5"/>
        <v>958</v>
      </c>
      <c r="K27" s="15">
        <f t="shared" si="5"/>
        <v>676</v>
      </c>
      <c r="L27" s="15">
        <f t="shared" si="5"/>
        <v>1657</v>
      </c>
      <c r="M27" s="15">
        <f t="shared" si="5"/>
        <v>1686</v>
      </c>
      <c r="N27" s="15">
        <f t="shared" si="5"/>
        <v>1139</v>
      </c>
      <c r="O27" s="15">
        <f t="shared" si="5"/>
        <v>1396</v>
      </c>
      <c r="P27" s="15">
        <f t="shared" si="5"/>
        <v>1608</v>
      </c>
      <c r="Q27" s="15">
        <f t="shared" si="5"/>
        <v>3641</v>
      </c>
      <c r="R27" s="15">
        <f t="shared" si="5"/>
        <v>1077</v>
      </c>
      <c r="S27" s="15">
        <f t="shared" si="5"/>
        <v>1902</v>
      </c>
      <c r="T27" s="15">
        <f t="shared" si="5"/>
        <v>1682</v>
      </c>
      <c r="U27" s="15">
        <f t="shared" si="5"/>
        <v>2897</v>
      </c>
      <c r="V27" s="15">
        <f t="shared" si="5"/>
        <v>2958</v>
      </c>
      <c r="W27" s="15">
        <f t="shared" si="5"/>
        <v>1879</v>
      </c>
      <c r="X27" s="15">
        <f t="shared" si="5"/>
        <v>1265</v>
      </c>
      <c r="Y27" s="15">
        <f t="shared" si="5"/>
        <v>1847</v>
      </c>
      <c r="Z27" s="15">
        <f t="shared" si="5"/>
        <v>334</v>
      </c>
      <c r="AA27" s="15">
        <f t="shared" si="5"/>
        <v>574</v>
      </c>
      <c r="AB27" s="15">
        <f t="shared" si="5"/>
        <v>854</v>
      </c>
      <c r="AC27" s="15">
        <f t="shared" si="5"/>
        <v>1940</v>
      </c>
      <c r="AD27" s="54">
        <f t="shared" ref="AD27:AG28" si="6">AD23-AC23</f>
        <v>1607</v>
      </c>
      <c r="AE27" s="54">
        <f t="shared" si="6"/>
        <v>3676</v>
      </c>
      <c r="AF27" s="54">
        <f t="shared" si="6"/>
        <v>4269</v>
      </c>
      <c r="AG27" s="54">
        <f t="shared" si="6"/>
        <v>5779</v>
      </c>
      <c r="AH27" s="54">
        <f t="shared" ref="AH27:AM28" si="7">AH23-AG23</f>
        <v>1521</v>
      </c>
      <c r="AI27" s="54">
        <f t="shared" si="7"/>
        <v>2982</v>
      </c>
      <c r="AJ27" s="54">
        <f t="shared" si="7"/>
        <v>4275</v>
      </c>
      <c r="AK27" s="54">
        <f t="shared" si="7"/>
        <v>4552</v>
      </c>
      <c r="AL27" s="54">
        <f t="shared" si="7"/>
        <v>1736</v>
      </c>
      <c r="AM27" s="54">
        <f t="shared" si="7"/>
        <v>5047</v>
      </c>
      <c r="AN27" s="174"/>
      <c r="AO27" s="174"/>
      <c r="AP27" s="174"/>
      <c r="AQ27" s="174"/>
      <c r="AR27" s="174"/>
      <c r="AS27" s="174"/>
      <c r="AT27" s="174"/>
      <c r="AU27" s="174"/>
      <c r="AV27" s="174"/>
      <c r="AW27" s="174"/>
      <c r="AX27" s="174"/>
      <c r="AY27" s="174"/>
      <c r="AZ27" s="174"/>
      <c r="BA27" s="174"/>
      <c r="BB27" s="174"/>
      <c r="BC27" s="174"/>
      <c r="BD27" s="15"/>
    </row>
    <row r="28" spans="1:58">
      <c r="A28" s="2" t="s">
        <v>160</v>
      </c>
      <c r="B28" s="14"/>
      <c r="C28" s="15"/>
      <c r="D28" s="15"/>
      <c r="E28" s="15">
        <f t="shared" ref="E28:AC28" si="8">E24-D24</f>
        <v>16162</v>
      </c>
      <c r="F28" s="15">
        <f t="shared" si="8"/>
        <v>1850</v>
      </c>
      <c r="G28" s="15">
        <f t="shared" si="8"/>
        <v>2321</v>
      </c>
      <c r="H28" s="15">
        <f t="shared" si="8"/>
        <v>2182</v>
      </c>
      <c r="I28" s="15">
        <f t="shared" si="8"/>
        <v>2058</v>
      </c>
      <c r="J28" s="15">
        <f t="shared" si="8"/>
        <v>1031</v>
      </c>
      <c r="K28" s="15">
        <f t="shared" si="8"/>
        <v>1012</v>
      </c>
      <c r="L28" s="15">
        <f t="shared" si="8"/>
        <v>1563</v>
      </c>
      <c r="M28" s="15">
        <f t="shared" si="8"/>
        <v>3122</v>
      </c>
      <c r="N28" s="15">
        <f t="shared" si="8"/>
        <v>3263</v>
      </c>
      <c r="O28" s="15">
        <f t="shared" si="8"/>
        <v>3491</v>
      </c>
      <c r="P28" s="15">
        <f t="shared" si="8"/>
        <v>3795</v>
      </c>
      <c r="Q28" s="15">
        <f t="shared" si="8"/>
        <v>6975</v>
      </c>
      <c r="R28" s="15">
        <f t="shared" si="8"/>
        <v>4061</v>
      </c>
      <c r="S28" s="15">
        <f t="shared" si="8"/>
        <v>9561</v>
      </c>
      <c r="T28" s="15">
        <f t="shared" si="8"/>
        <v>25929</v>
      </c>
      <c r="U28" s="15">
        <f t="shared" si="8"/>
        <v>17089</v>
      </c>
      <c r="V28" s="15">
        <f t="shared" si="8"/>
        <v>2550</v>
      </c>
      <c r="W28" s="15">
        <f t="shared" si="8"/>
        <v>2367</v>
      </c>
      <c r="X28" s="15">
        <f t="shared" si="8"/>
        <v>2985</v>
      </c>
      <c r="Y28" s="15">
        <f t="shared" si="8"/>
        <v>3350</v>
      </c>
      <c r="Z28" s="15">
        <f t="shared" si="8"/>
        <v>3415</v>
      </c>
      <c r="AA28" s="15">
        <f t="shared" si="8"/>
        <v>3049</v>
      </c>
      <c r="AB28" s="15">
        <f t="shared" si="8"/>
        <v>7153</v>
      </c>
      <c r="AC28" s="15">
        <f t="shared" si="8"/>
        <v>14374</v>
      </c>
      <c r="AD28" s="54">
        <f t="shared" si="6"/>
        <v>1720</v>
      </c>
      <c r="AE28" s="54">
        <f t="shared" si="6"/>
        <v>8103</v>
      </c>
      <c r="AF28" s="54">
        <f t="shared" si="6"/>
        <v>10328</v>
      </c>
      <c r="AG28" s="54">
        <f t="shared" si="6"/>
        <v>7768</v>
      </c>
      <c r="AH28" s="54">
        <f t="shared" si="7"/>
        <v>4514</v>
      </c>
      <c r="AI28" s="54">
        <f t="shared" si="7"/>
        <v>4684</v>
      </c>
      <c r="AJ28" s="54">
        <f t="shared" si="7"/>
        <v>5415</v>
      </c>
      <c r="AK28" s="54">
        <f t="shared" si="7"/>
        <v>4828</v>
      </c>
      <c r="AL28" s="54">
        <f t="shared" si="7"/>
        <v>2137</v>
      </c>
      <c r="AM28" s="54">
        <f t="shared" si="7"/>
        <v>5259</v>
      </c>
      <c r="AN28" s="174"/>
      <c r="AO28" s="174"/>
      <c r="AP28" s="174"/>
      <c r="AQ28" s="174"/>
      <c r="AR28" s="174"/>
      <c r="AS28" s="174"/>
      <c r="AT28" s="174"/>
      <c r="AU28" s="174"/>
      <c r="AV28" s="174"/>
      <c r="AW28" s="174"/>
      <c r="AX28" s="174"/>
      <c r="AY28" s="174"/>
      <c r="AZ28" s="174"/>
      <c r="BA28" s="174"/>
      <c r="BB28" s="174"/>
      <c r="BC28" s="174"/>
      <c r="BD28" s="15"/>
    </row>
    <row r="29" spans="1:58">
      <c r="A29" s="9"/>
      <c r="B29" s="40"/>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9"/>
    </row>
    <row r="30" spans="1:58">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BD30" s="14"/>
    </row>
    <row r="31" spans="1:58" s="30" customFormat="1" ht="15.35">
      <c r="A31" s="508" t="s">
        <v>151</v>
      </c>
      <c r="B31" s="508"/>
      <c r="C31" s="508"/>
      <c r="D31" s="508"/>
      <c r="E31" s="508"/>
      <c r="F31" s="508"/>
      <c r="G31" s="508"/>
      <c r="H31" s="508"/>
      <c r="I31" s="508"/>
      <c r="J31" s="508"/>
      <c r="K31" s="508"/>
      <c r="L31" s="508"/>
      <c r="M31" s="508"/>
      <c r="N31" s="508"/>
      <c r="O31" s="508"/>
      <c r="P31" s="508"/>
      <c r="Q31" s="508"/>
      <c r="R31" s="508"/>
      <c r="S31" s="508"/>
      <c r="T31" s="508"/>
      <c r="U31" s="508"/>
      <c r="V31" s="508"/>
      <c r="W31" s="508"/>
      <c r="X31" s="508"/>
      <c r="Y31" s="508"/>
      <c r="Z31" s="508"/>
      <c r="AA31" s="508"/>
      <c r="AB31" s="508"/>
      <c r="AC31" s="508"/>
      <c r="AD31" s="508"/>
      <c r="AE31" s="508"/>
      <c r="AF31" s="520"/>
      <c r="AG31" s="520"/>
      <c r="AH31" s="520"/>
      <c r="AI31" s="520"/>
      <c r="AJ31" s="520"/>
      <c r="AK31" s="520"/>
      <c r="AL31" s="520"/>
      <c r="AM31" s="520"/>
      <c r="AN31" s="520"/>
      <c r="AO31" s="520"/>
      <c r="AP31" s="520"/>
      <c r="AQ31" s="520"/>
      <c r="AR31" s="520"/>
      <c r="AS31" s="520"/>
      <c r="AT31" s="520"/>
      <c r="AU31" s="520"/>
      <c r="AV31" s="520"/>
      <c r="AW31" s="520"/>
      <c r="AX31" s="520"/>
      <c r="AY31" s="520"/>
      <c r="AZ31" s="520"/>
      <c r="BA31" s="520"/>
      <c r="BB31" s="520"/>
      <c r="BC31" s="520"/>
      <c r="BD31" s="508"/>
      <c r="BE31" s="508"/>
      <c r="BF31" s="13"/>
    </row>
    <row r="32" spans="1:58">
      <c r="A32" s="2" t="s">
        <v>145</v>
      </c>
      <c r="B32" s="284">
        <v>78722</v>
      </c>
      <c r="C32" s="284">
        <v>78921.679999999993</v>
      </c>
      <c r="D32" s="284">
        <v>79012</v>
      </c>
      <c r="E32" s="284">
        <v>79153.88</v>
      </c>
      <c r="F32" s="284">
        <v>79452.38</v>
      </c>
      <c r="G32" s="284">
        <v>80655.62</v>
      </c>
      <c r="H32" s="284">
        <v>81839</v>
      </c>
      <c r="I32" s="284">
        <v>82083</v>
      </c>
      <c r="J32" s="284">
        <v>82321</v>
      </c>
      <c r="K32" s="284">
        <v>82476</v>
      </c>
      <c r="L32" s="284">
        <v>82813</v>
      </c>
      <c r="M32" s="284">
        <v>83368</v>
      </c>
      <c r="N32" s="284">
        <v>83778</v>
      </c>
      <c r="O32" s="284">
        <v>84303</v>
      </c>
      <c r="P32" s="284">
        <v>85064</v>
      </c>
      <c r="Q32" s="284">
        <v>85892</v>
      </c>
      <c r="R32" s="284">
        <v>86397</v>
      </c>
      <c r="S32" s="284">
        <v>87184</v>
      </c>
      <c r="T32" s="284">
        <v>88055</v>
      </c>
      <c r="U32" s="284">
        <v>88808</v>
      </c>
      <c r="V32" s="284">
        <v>89352.38</v>
      </c>
      <c r="W32" s="284">
        <v>89790.6</v>
      </c>
      <c r="X32" s="284">
        <v>90255.48</v>
      </c>
      <c r="Y32" s="284">
        <v>90645.6</v>
      </c>
      <c r="Z32" s="284">
        <v>90836.9</v>
      </c>
      <c r="AA32" s="284">
        <v>90955</v>
      </c>
      <c r="AB32" s="284">
        <v>91007</v>
      </c>
      <c r="AC32" s="284">
        <v>91451</v>
      </c>
      <c r="AD32" s="285">
        <v>39719</v>
      </c>
      <c r="AE32" s="285">
        <v>39946</v>
      </c>
      <c r="AF32" s="285">
        <v>40192</v>
      </c>
      <c r="AG32" s="285">
        <v>40388</v>
      </c>
      <c r="AH32" s="285">
        <v>40636</v>
      </c>
      <c r="AI32" s="285">
        <v>41050</v>
      </c>
      <c r="AJ32" s="285">
        <v>41471</v>
      </c>
      <c r="AK32" s="285">
        <v>42053</v>
      </c>
      <c r="AL32" s="285">
        <v>42339</v>
      </c>
      <c r="AM32" s="285">
        <v>43110</v>
      </c>
      <c r="AN32" s="174"/>
      <c r="AO32" s="174"/>
      <c r="AP32" s="174"/>
      <c r="AQ32" s="174"/>
      <c r="AR32" s="174"/>
      <c r="AS32" s="174"/>
      <c r="AT32" s="174"/>
      <c r="AU32" s="174"/>
      <c r="AV32" s="174"/>
      <c r="AW32" s="174"/>
      <c r="AX32" s="174"/>
      <c r="AY32" s="174"/>
      <c r="AZ32" s="174"/>
      <c r="BA32" s="174"/>
      <c r="BB32" s="174"/>
      <c r="BC32" s="174"/>
      <c r="BD32" s="15"/>
    </row>
    <row r="33" spans="1:58">
      <c r="A33" s="2" t="s">
        <v>146</v>
      </c>
      <c r="B33" s="284"/>
      <c r="C33" s="284"/>
      <c r="D33" s="284"/>
      <c r="E33" s="284">
        <v>149907.70000000001</v>
      </c>
      <c r="F33" s="284">
        <v>151458.35999999999</v>
      </c>
      <c r="G33" s="284">
        <v>154295.53999999998</v>
      </c>
      <c r="H33" s="284">
        <v>156335.96</v>
      </c>
      <c r="I33" s="284">
        <v>156607.62</v>
      </c>
      <c r="J33" s="284">
        <v>158037.76000000001</v>
      </c>
      <c r="K33" s="284">
        <v>159996.84</v>
      </c>
      <c r="L33" s="284">
        <v>163370.20000000001</v>
      </c>
      <c r="M33" s="284">
        <v>167201.96</v>
      </c>
      <c r="N33" s="284">
        <v>170320.03999999998</v>
      </c>
      <c r="O33" s="284">
        <v>174270.18</v>
      </c>
      <c r="P33" s="284">
        <v>178747.62</v>
      </c>
      <c r="Q33" s="284">
        <v>182294.46</v>
      </c>
      <c r="R33" s="284">
        <v>185215.2</v>
      </c>
      <c r="S33" s="284">
        <v>188635.78</v>
      </c>
      <c r="T33" s="284">
        <v>191920.52</v>
      </c>
      <c r="U33" s="284">
        <v>195034.52</v>
      </c>
      <c r="V33" s="284">
        <v>196401.26</v>
      </c>
      <c r="W33" s="284">
        <v>198794.58000000002</v>
      </c>
      <c r="X33" s="284">
        <v>204933.78</v>
      </c>
      <c r="Y33" s="284">
        <v>210606.46</v>
      </c>
      <c r="Z33" s="284">
        <v>218401.14</v>
      </c>
      <c r="AA33" s="284">
        <v>220088</v>
      </c>
      <c r="AB33" s="284">
        <v>213476</v>
      </c>
      <c r="AC33" s="284">
        <v>205596</v>
      </c>
      <c r="AD33" s="285">
        <v>86053</v>
      </c>
      <c r="AE33" s="285">
        <v>78275</v>
      </c>
      <c r="AF33" s="285">
        <v>77693</v>
      </c>
      <c r="AG33" s="285">
        <v>76341</v>
      </c>
      <c r="AH33" s="285">
        <v>76119</v>
      </c>
      <c r="AI33" s="285">
        <v>76176</v>
      </c>
      <c r="AJ33" s="285">
        <v>76322</v>
      </c>
      <c r="AK33" s="285">
        <v>75715</v>
      </c>
      <c r="AL33" s="285">
        <v>75435</v>
      </c>
      <c r="AM33" s="285">
        <v>76565</v>
      </c>
      <c r="AN33" s="174"/>
      <c r="AO33" s="174"/>
      <c r="AP33" s="174"/>
      <c r="AQ33" s="174"/>
      <c r="AR33" s="174"/>
      <c r="AS33" s="174"/>
      <c r="AT33" s="174"/>
      <c r="AU33" s="174"/>
      <c r="AV33" s="174"/>
      <c r="AW33" s="174"/>
      <c r="AX33" s="174"/>
      <c r="AY33" s="174"/>
      <c r="AZ33" s="174"/>
      <c r="BA33" s="174"/>
      <c r="BB33" s="174"/>
      <c r="BC33" s="174"/>
      <c r="BD33" s="15"/>
    </row>
    <row r="34" spans="1:58">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BD34" s="14"/>
    </row>
    <row r="35" spans="1:58">
      <c r="A35" s="2" t="s">
        <v>163</v>
      </c>
      <c r="B35" s="15">
        <v>36203</v>
      </c>
      <c r="C35" s="15">
        <v>37117</v>
      </c>
      <c r="D35" s="15">
        <v>34792</v>
      </c>
      <c r="E35" s="15">
        <v>34803</v>
      </c>
      <c r="F35" s="15">
        <v>33622</v>
      </c>
      <c r="G35" s="15">
        <v>34711</v>
      </c>
      <c r="H35" s="15">
        <v>35022</v>
      </c>
      <c r="I35" s="15">
        <v>34956</v>
      </c>
      <c r="J35" s="15">
        <v>34079</v>
      </c>
      <c r="K35" s="15">
        <v>33996</v>
      </c>
      <c r="L35" s="15">
        <v>34124</v>
      </c>
      <c r="M35" s="15">
        <v>34155</v>
      </c>
      <c r="N35" s="15">
        <v>34113</v>
      </c>
      <c r="O35" s="15">
        <v>34016</v>
      </c>
      <c r="P35" s="15">
        <v>33970</v>
      </c>
      <c r="Q35" s="15">
        <v>34011</v>
      </c>
      <c r="R35" s="15">
        <v>34201</v>
      </c>
      <c r="S35" s="15">
        <v>34292</v>
      </c>
      <c r="T35" s="15">
        <v>34453</v>
      </c>
      <c r="U35" s="15">
        <v>34671</v>
      </c>
      <c r="V35" s="15">
        <v>35038.527477823642</v>
      </c>
      <c r="W35" s="15">
        <v>34993.620715575678</v>
      </c>
      <c r="X35" s="15">
        <v>34965.754366789261</v>
      </c>
      <c r="Y35" s="15"/>
      <c r="Z35" s="15"/>
      <c r="AA35" s="15"/>
      <c r="AB35" s="15"/>
      <c r="AC35" s="15"/>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15"/>
    </row>
    <row r="36" spans="1:58">
      <c r="A36" s="2" t="s">
        <v>149</v>
      </c>
      <c r="B36" s="45"/>
      <c r="C36" s="45"/>
      <c r="D36" s="45"/>
      <c r="E36" s="45">
        <f t="shared" ref="E36:X36" si="9">E33/E32</f>
        <v>1.8938768383811382</v>
      </c>
      <c r="F36" s="45">
        <f t="shared" si="9"/>
        <v>1.9062784525775058</v>
      </c>
      <c r="G36" s="45">
        <f t="shared" si="9"/>
        <v>1.9130166007030878</v>
      </c>
      <c r="H36" s="45">
        <f t="shared" si="9"/>
        <v>1.9102867825853198</v>
      </c>
      <c r="I36" s="45">
        <f t="shared" si="9"/>
        <v>1.9079178392602609</v>
      </c>
      <c r="J36" s="45">
        <f t="shared" si="9"/>
        <v>1.9197745411255938</v>
      </c>
      <c r="K36" s="45">
        <f t="shared" si="9"/>
        <v>1.9399199767205004</v>
      </c>
      <c r="L36" s="45">
        <f t="shared" si="9"/>
        <v>1.9727603154094164</v>
      </c>
      <c r="M36" s="45">
        <f t="shared" si="9"/>
        <v>2.0055891948949238</v>
      </c>
      <c r="N36" s="45">
        <f t="shared" si="9"/>
        <v>2.0329924323808157</v>
      </c>
      <c r="O36" s="45">
        <f t="shared" si="9"/>
        <v>2.0671883562862532</v>
      </c>
      <c r="P36" s="45">
        <f t="shared" si="9"/>
        <v>2.1013309978369228</v>
      </c>
      <c r="Q36" s="45">
        <f t="shared" si="9"/>
        <v>2.1223683230102921</v>
      </c>
      <c r="R36" s="45">
        <f t="shared" si="9"/>
        <v>2.1437688808639188</v>
      </c>
      <c r="S36" s="45">
        <f t="shared" si="9"/>
        <v>2.163651358047348</v>
      </c>
      <c r="T36" s="45">
        <f t="shared" si="9"/>
        <v>2.1795527795128042</v>
      </c>
      <c r="U36" s="45">
        <f t="shared" si="9"/>
        <v>2.1961368345194123</v>
      </c>
      <c r="V36" s="45">
        <f t="shared" si="9"/>
        <v>2.1980529225970256</v>
      </c>
      <c r="W36" s="45">
        <f t="shared" si="9"/>
        <v>2.2139798598071514</v>
      </c>
      <c r="X36" s="45">
        <f t="shared" si="9"/>
        <v>2.2705965333074514</v>
      </c>
      <c r="Y36" s="288">
        <v>2.2971213085435571</v>
      </c>
      <c r="Z36" s="288">
        <v>2.3638996490029367</v>
      </c>
      <c r="AA36" s="288">
        <v>2.41</v>
      </c>
      <c r="AB36" s="288">
        <v>2.38</v>
      </c>
      <c r="AC36" s="288">
        <v>2.2999999999999998</v>
      </c>
      <c r="AD36" s="289">
        <v>2.2200000000000002</v>
      </c>
      <c r="AE36" s="289">
        <v>2.0627377141781209</v>
      </c>
      <c r="AF36" s="289">
        <v>1.95</v>
      </c>
      <c r="AG36" s="289">
        <v>1.91</v>
      </c>
      <c r="AH36" s="289">
        <v>1.8816646919431279</v>
      </c>
      <c r="AI36" s="289">
        <v>1.86</v>
      </c>
      <c r="AJ36" s="289">
        <v>1.8479902085529745</v>
      </c>
      <c r="AK36" s="289">
        <v>1.8202792011876825</v>
      </c>
      <c r="AL36" s="289">
        <v>1.79</v>
      </c>
      <c r="AM36" s="289"/>
      <c r="AN36" s="289"/>
      <c r="AO36" s="56"/>
      <c r="AP36" s="56"/>
      <c r="AQ36" s="56"/>
      <c r="AR36" s="56"/>
      <c r="AS36" s="56"/>
      <c r="AT36" s="56"/>
      <c r="AU36" s="56"/>
      <c r="AV36" s="56"/>
      <c r="AW36" s="56"/>
      <c r="AX36" s="56"/>
      <c r="AY36" s="56"/>
      <c r="AZ36" s="56"/>
      <c r="BA36" s="56"/>
      <c r="BB36" s="56"/>
      <c r="BC36" s="56"/>
      <c r="BD36" s="45"/>
    </row>
    <row r="37" spans="1:58">
      <c r="A37" s="2" t="s">
        <v>150</v>
      </c>
      <c r="B37" s="45"/>
      <c r="C37" s="45"/>
      <c r="D37" s="45"/>
      <c r="E37" s="45"/>
      <c r="F37" s="45">
        <f t="shared" ref="F37:X37" si="10">F40/F39</f>
        <v>5.1948408710216896</v>
      </c>
      <c r="G37" s="45">
        <f t="shared" si="10"/>
        <v>2.3579502011236455</v>
      </c>
      <c r="H37" s="45">
        <f t="shared" si="10"/>
        <v>1.7242305937230684</v>
      </c>
      <c r="I37" s="45">
        <f t="shared" si="10"/>
        <v>1.1133606557377191</v>
      </c>
      <c r="J37" s="45">
        <f t="shared" si="10"/>
        <v>6.0089915966387144</v>
      </c>
      <c r="K37" s="45">
        <f t="shared" si="10"/>
        <v>12.639225806451531</v>
      </c>
      <c r="L37" s="45">
        <f t="shared" si="10"/>
        <v>10.00997032640954</v>
      </c>
      <c r="M37" s="45">
        <f t="shared" si="10"/>
        <v>6.9040720720720365</v>
      </c>
      <c r="N37" s="45">
        <f t="shared" si="10"/>
        <v>7.6050731707316759</v>
      </c>
      <c r="O37" s="45">
        <f t="shared" si="10"/>
        <v>7.524076190476217</v>
      </c>
      <c r="P37" s="45">
        <f t="shared" si="10"/>
        <v>5.8836268068331172</v>
      </c>
      <c r="Q37" s="45">
        <f t="shared" si="10"/>
        <v>4.2836231884057927</v>
      </c>
      <c r="R37" s="45">
        <f t="shared" si="10"/>
        <v>5.783643564356475</v>
      </c>
      <c r="S37" s="45">
        <f t="shared" si="10"/>
        <v>4.3463532401524612</v>
      </c>
      <c r="T37" s="45">
        <f t="shared" si="10"/>
        <v>3.7712284730195069</v>
      </c>
      <c r="U37" s="45">
        <f t="shared" si="10"/>
        <v>4.1354581673306772</v>
      </c>
      <c r="V37" s="45">
        <f t="shared" si="10"/>
        <v>2.5106359528270841</v>
      </c>
      <c r="W37" s="45">
        <f t="shared" si="10"/>
        <v>5.4614577153028172</v>
      </c>
      <c r="X37" s="45">
        <f t="shared" si="10"/>
        <v>13.205988642230496</v>
      </c>
      <c r="Y37" s="45">
        <f t="shared" ref="Y37:AD37" si="11">Y40/Y39</f>
        <v>14.540859222802853</v>
      </c>
      <c r="Z37" s="45">
        <f t="shared" si="11"/>
        <v>40.745844223734956</v>
      </c>
      <c r="AA37" s="45">
        <f t="shared" si="11"/>
        <v>14.283319220998331</v>
      </c>
      <c r="AB37" s="45">
        <f t="shared" si="11"/>
        <v>-127.15384615384616</v>
      </c>
      <c r="AC37" s="45">
        <f t="shared" si="11"/>
        <v>-17.747747747747749</v>
      </c>
      <c r="AD37" s="56">
        <f t="shared" si="11"/>
        <v>2.3108134230263668</v>
      </c>
      <c r="AE37" s="56">
        <f t="shared" ref="AE37:AG37" si="12">AE40/AE39</f>
        <v>-34.264317180616743</v>
      </c>
      <c r="AF37" s="56">
        <f t="shared" si="12"/>
        <v>-2.3658536585365852</v>
      </c>
      <c r="AG37" s="56">
        <f t="shared" si="12"/>
        <v>-6.8979591836734695</v>
      </c>
      <c r="AH37" s="56">
        <f t="shared" ref="AH37:AI37" si="13">AH40/AH39</f>
        <v>-0.89516129032258063</v>
      </c>
      <c r="AI37" s="56">
        <f t="shared" si="13"/>
        <v>0.13768115942028986</v>
      </c>
      <c r="AJ37" s="56">
        <f t="shared" ref="AJ37:AK37" si="14">AJ40/AJ39</f>
        <v>0.34679334916864607</v>
      </c>
      <c r="AK37" s="56">
        <f t="shared" si="14"/>
        <v>-1.0429553264604812</v>
      </c>
      <c r="AL37" s="56">
        <f t="shared" ref="AL37:AM37" si="15">AL40/AL39</f>
        <v>-0.97902097902097907</v>
      </c>
      <c r="AM37" s="56">
        <f t="shared" si="15"/>
        <v>1.4656290531776912</v>
      </c>
      <c r="AN37" s="319"/>
      <c r="AO37" s="319"/>
      <c r="AP37" s="319"/>
      <c r="AQ37" s="319"/>
      <c r="AR37" s="319"/>
      <c r="AS37" s="319"/>
      <c r="AT37" s="319"/>
      <c r="AU37" s="319"/>
      <c r="AV37" s="319"/>
      <c r="AW37" s="319"/>
      <c r="AX37" s="319"/>
      <c r="AY37" s="319"/>
      <c r="AZ37" s="319"/>
      <c r="BA37" s="319"/>
      <c r="BB37" s="319"/>
      <c r="BC37" s="319"/>
      <c r="BD37" s="45"/>
    </row>
    <row r="38" spans="1:58">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15"/>
    </row>
    <row r="39" spans="1:58">
      <c r="A39" s="2" t="s">
        <v>147</v>
      </c>
      <c r="B39" s="15"/>
      <c r="C39" s="15">
        <f t="shared" ref="C39:X39" si="16">C32-B32</f>
        <v>199.67999999999302</v>
      </c>
      <c r="D39" s="15">
        <f t="shared" si="16"/>
        <v>90.320000000006985</v>
      </c>
      <c r="E39" s="15">
        <f t="shared" si="16"/>
        <v>141.88000000000466</v>
      </c>
      <c r="F39" s="15">
        <f t="shared" si="16"/>
        <v>298.5</v>
      </c>
      <c r="G39" s="15">
        <f t="shared" si="16"/>
        <v>1203.2399999999907</v>
      </c>
      <c r="H39" s="15">
        <f t="shared" si="16"/>
        <v>1183.3800000000047</v>
      </c>
      <c r="I39" s="15">
        <f t="shared" si="16"/>
        <v>244</v>
      </c>
      <c r="J39" s="15">
        <f t="shared" si="16"/>
        <v>238</v>
      </c>
      <c r="K39" s="15">
        <f t="shared" si="16"/>
        <v>155</v>
      </c>
      <c r="L39" s="15">
        <f t="shared" si="16"/>
        <v>337</v>
      </c>
      <c r="M39" s="15">
        <f t="shared" si="16"/>
        <v>555</v>
      </c>
      <c r="N39" s="15">
        <f t="shared" si="16"/>
        <v>410</v>
      </c>
      <c r="O39" s="15">
        <f t="shared" si="16"/>
        <v>525</v>
      </c>
      <c r="P39" s="15">
        <f t="shared" si="16"/>
        <v>761</v>
      </c>
      <c r="Q39" s="15">
        <f t="shared" si="16"/>
        <v>828</v>
      </c>
      <c r="R39" s="15">
        <f t="shared" si="16"/>
        <v>505</v>
      </c>
      <c r="S39" s="15">
        <f t="shared" si="16"/>
        <v>787</v>
      </c>
      <c r="T39" s="15">
        <f t="shared" si="16"/>
        <v>871</v>
      </c>
      <c r="U39" s="15">
        <f t="shared" si="16"/>
        <v>753</v>
      </c>
      <c r="V39" s="15">
        <f t="shared" si="16"/>
        <v>544.38000000000466</v>
      </c>
      <c r="W39" s="15">
        <f t="shared" si="16"/>
        <v>438.22000000000116</v>
      </c>
      <c r="X39" s="15">
        <f t="shared" si="16"/>
        <v>464.8799999999901</v>
      </c>
      <c r="Y39" s="15">
        <f t="shared" ref="Y39:AB39" si="17">Y32-X32</f>
        <v>390.1200000000099</v>
      </c>
      <c r="Z39" s="15">
        <f t="shared" si="17"/>
        <v>191.29999999998836</v>
      </c>
      <c r="AA39" s="15">
        <f t="shared" si="17"/>
        <v>118.10000000000582</v>
      </c>
      <c r="AB39" s="15">
        <f t="shared" si="17"/>
        <v>52</v>
      </c>
      <c r="AC39" s="15">
        <f t="shared" ref="AC39:AC40" si="18">AC32-AB32</f>
        <v>444</v>
      </c>
      <c r="AD39" s="54">
        <f t="shared" ref="AD39:AG40" si="19">AD32-AC32</f>
        <v>-51732</v>
      </c>
      <c r="AE39" s="54">
        <f t="shared" si="19"/>
        <v>227</v>
      </c>
      <c r="AF39" s="54">
        <f t="shared" si="19"/>
        <v>246</v>
      </c>
      <c r="AG39" s="54">
        <f t="shared" si="19"/>
        <v>196</v>
      </c>
      <c r="AH39" s="54">
        <f t="shared" ref="AH39:AM40" si="20">AH32-AG32</f>
        <v>248</v>
      </c>
      <c r="AI39" s="54">
        <f t="shared" si="20"/>
        <v>414</v>
      </c>
      <c r="AJ39" s="54">
        <f t="shared" si="20"/>
        <v>421</v>
      </c>
      <c r="AK39" s="54">
        <f t="shared" si="20"/>
        <v>582</v>
      </c>
      <c r="AL39" s="54">
        <f t="shared" si="20"/>
        <v>286</v>
      </c>
      <c r="AM39" s="54">
        <f t="shared" si="20"/>
        <v>771</v>
      </c>
      <c r="AN39" s="174"/>
      <c r="AO39" s="174"/>
      <c r="AP39" s="174"/>
      <c r="AQ39" s="174"/>
      <c r="AR39" s="174"/>
      <c r="AS39" s="174"/>
      <c r="AT39" s="174"/>
      <c r="AU39" s="174"/>
      <c r="AV39" s="174"/>
      <c r="AW39" s="174"/>
      <c r="AX39" s="174"/>
      <c r="AY39" s="174"/>
      <c r="AZ39" s="174"/>
      <c r="BA39" s="174"/>
      <c r="BB39" s="174"/>
      <c r="BC39" s="174"/>
      <c r="BD39" s="15"/>
    </row>
    <row r="40" spans="1:58">
      <c r="A40" s="2" t="s">
        <v>148</v>
      </c>
      <c r="B40" s="15"/>
      <c r="C40" s="15"/>
      <c r="D40" s="15"/>
      <c r="E40" s="15"/>
      <c r="F40" s="15">
        <f>F33-E33</f>
        <v>1550.6599999999744</v>
      </c>
      <c r="G40" s="15">
        <f t="shared" ref="G40:X40" si="21">G33-F33</f>
        <v>2837.179999999993</v>
      </c>
      <c r="H40" s="15">
        <f t="shared" si="21"/>
        <v>2040.4200000000128</v>
      </c>
      <c r="I40" s="15">
        <f t="shared" si="21"/>
        <v>271.66000000000349</v>
      </c>
      <c r="J40" s="15">
        <f t="shared" si="21"/>
        <v>1430.140000000014</v>
      </c>
      <c r="K40" s="15">
        <f t="shared" si="21"/>
        <v>1959.0799999999872</v>
      </c>
      <c r="L40" s="15">
        <f t="shared" si="21"/>
        <v>3373.3600000000151</v>
      </c>
      <c r="M40" s="15">
        <f t="shared" si="21"/>
        <v>3831.7599999999802</v>
      </c>
      <c r="N40" s="15">
        <f t="shared" si="21"/>
        <v>3118.0799999999872</v>
      </c>
      <c r="O40" s="15">
        <f t="shared" si="21"/>
        <v>3950.140000000014</v>
      </c>
      <c r="P40" s="15">
        <f t="shared" si="21"/>
        <v>4477.4400000000023</v>
      </c>
      <c r="Q40" s="15">
        <f t="shared" si="21"/>
        <v>3546.8399999999965</v>
      </c>
      <c r="R40" s="15">
        <f t="shared" si="21"/>
        <v>2920.7400000000198</v>
      </c>
      <c r="S40" s="15">
        <f t="shared" si="21"/>
        <v>3420.5799999999872</v>
      </c>
      <c r="T40" s="15">
        <f t="shared" si="21"/>
        <v>3284.7399999999907</v>
      </c>
      <c r="U40" s="15">
        <f t="shared" si="21"/>
        <v>3114</v>
      </c>
      <c r="V40" s="15">
        <f t="shared" si="21"/>
        <v>1366.7400000000198</v>
      </c>
      <c r="W40" s="15">
        <f t="shared" si="21"/>
        <v>2393.320000000007</v>
      </c>
      <c r="X40" s="15">
        <f t="shared" si="21"/>
        <v>6139.1999999999825</v>
      </c>
      <c r="Y40" s="15">
        <f t="shared" ref="Y40:AB40" si="22">Y33-X33</f>
        <v>5672.679999999993</v>
      </c>
      <c r="Z40" s="15">
        <f t="shared" si="22"/>
        <v>7794.6800000000221</v>
      </c>
      <c r="AA40" s="15">
        <f t="shared" si="22"/>
        <v>1686.859999999986</v>
      </c>
      <c r="AB40" s="15">
        <f t="shared" si="22"/>
        <v>-6612</v>
      </c>
      <c r="AC40" s="15">
        <f t="shared" si="18"/>
        <v>-7880</v>
      </c>
      <c r="AD40" s="54">
        <f t="shared" si="19"/>
        <v>-119543</v>
      </c>
      <c r="AE40" s="54">
        <f t="shared" si="19"/>
        <v>-7778</v>
      </c>
      <c r="AF40" s="54">
        <f t="shared" si="19"/>
        <v>-582</v>
      </c>
      <c r="AG40" s="54">
        <f t="shared" si="19"/>
        <v>-1352</v>
      </c>
      <c r="AH40" s="54">
        <f t="shared" si="20"/>
        <v>-222</v>
      </c>
      <c r="AI40" s="54">
        <f t="shared" si="20"/>
        <v>57</v>
      </c>
      <c r="AJ40" s="54">
        <f t="shared" si="20"/>
        <v>146</v>
      </c>
      <c r="AK40" s="54">
        <f t="shared" si="20"/>
        <v>-607</v>
      </c>
      <c r="AL40" s="54">
        <f t="shared" si="20"/>
        <v>-280</v>
      </c>
      <c r="AM40" s="54">
        <f t="shared" si="20"/>
        <v>1130</v>
      </c>
      <c r="AN40" s="174"/>
      <c r="AO40" s="174"/>
      <c r="AP40" s="174"/>
      <c r="AQ40" s="174"/>
      <c r="AR40" s="174"/>
      <c r="AS40" s="174"/>
      <c r="AT40" s="174"/>
      <c r="AU40" s="174"/>
      <c r="AV40" s="174"/>
      <c r="AW40" s="174"/>
      <c r="AX40" s="174"/>
      <c r="AY40" s="174"/>
      <c r="AZ40" s="174"/>
      <c r="BA40" s="174"/>
      <c r="BB40" s="174"/>
      <c r="BC40" s="174"/>
      <c r="BD40" s="15"/>
    </row>
    <row r="41" spans="1:58">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9"/>
      <c r="BE41" s="9"/>
    </row>
    <row r="42" spans="1:58">
      <c r="AE42" s="2"/>
    </row>
    <row r="43" spans="1:58" s="27" customFormat="1" ht="15.35">
      <c r="A43" s="510" t="s">
        <v>419</v>
      </c>
      <c r="B43" s="527" t="str">
        <f>'Revenue, EBITDA, capex breakout'!B$1</f>
        <v>Q1 12</v>
      </c>
      <c r="C43" s="527" t="str">
        <f>'Revenue, EBITDA, capex breakout'!C$1</f>
        <v>Q2 12</v>
      </c>
      <c r="D43" s="527" t="str">
        <f>'Revenue, EBITDA, capex breakout'!D$1</f>
        <v>Q3 12</v>
      </c>
      <c r="E43" s="527" t="str">
        <f>'Revenue, EBITDA, capex breakout'!E$1</f>
        <v>4Q12</v>
      </c>
      <c r="F43" s="527" t="str">
        <f>'Revenue, EBITDA, capex breakout'!F$1</f>
        <v>1Q13</v>
      </c>
      <c r="G43" s="527" t="str">
        <f>'Revenue, EBITDA, capex breakout'!G$1</f>
        <v>2Q13</v>
      </c>
      <c r="H43" s="527" t="str">
        <f>'Revenue, EBITDA, capex breakout'!H$1</f>
        <v>3Q13</v>
      </c>
      <c r="I43" s="527" t="str">
        <f>'Revenue, EBITDA, capex breakout'!I$1</f>
        <v>4Q13</v>
      </c>
      <c r="J43" s="527" t="str">
        <f>'Revenue, EBITDA, capex breakout'!J$1</f>
        <v>1Q14</v>
      </c>
      <c r="K43" s="527" t="str">
        <f>'Revenue, EBITDA, capex breakout'!K$1</f>
        <v>2Q14</v>
      </c>
      <c r="L43" s="527" t="str">
        <f>'Revenue, EBITDA, capex breakout'!L$1</f>
        <v>3Q14</v>
      </c>
      <c r="M43" s="527" t="str">
        <f>'Revenue, EBITDA, capex breakout'!M$1</f>
        <v>4Q14</v>
      </c>
      <c r="N43" s="527" t="str">
        <f>'Revenue, EBITDA, capex breakout'!N$1</f>
        <v>1Q15</v>
      </c>
      <c r="O43" s="527" t="str">
        <f>'Revenue, EBITDA, capex breakout'!O$1</f>
        <v>2Q15</v>
      </c>
      <c r="P43" s="527" t="str">
        <f>'Revenue, EBITDA, capex breakout'!P$1</f>
        <v>3Q15</v>
      </c>
      <c r="Q43" s="527" t="str">
        <f>'Revenue, EBITDA, capex breakout'!Q$1</f>
        <v>4Q15</v>
      </c>
      <c r="R43" s="527" t="str">
        <f>'Revenue, EBITDA, capex breakout'!R$1</f>
        <v>1Q16</v>
      </c>
      <c r="S43" s="527" t="str">
        <f>'Revenue, EBITDA, capex breakout'!S$1</f>
        <v>2Q16</v>
      </c>
      <c r="T43" s="527" t="str">
        <f>'Revenue, EBITDA, capex breakout'!T$1</f>
        <v>3Q16</v>
      </c>
      <c r="U43" s="527" t="str">
        <f>'Revenue, EBITDA, capex breakout'!U$1</f>
        <v>4Q16</v>
      </c>
      <c r="V43" s="527" t="str">
        <f>'Revenue, EBITDA, capex breakout'!V$1</f>
        <v>1Q17</v>
      </c>
      <c r="W43" s="527" t="str">
        <f>'Revenue, EBITDA, capex breakout'!W$1</f>
        <v>2Q17</v>
      </c>
      <c r="X43" s="527" t="str">
        <f>'Revenue, EBITDA, capex breakout'!X$1</f>
        <v>3Q17</v>
      </c>
      <c r="Y43" s="527" t="str">
        <f>'Revenue, EBITDA, capex breakout'!Y$1</f>
        <v>4Q17</v>
      </c>
      <c r="Z43" s="527" t="str">
        <f>'Revenue, EBITDA, capex breakout'!Z$1</f>
        <v>1Q18</v>
      </c>
      <c r="AA43" s="527" t="str">
        <f>'Revenue, EBITDA, capex breakout'!AA$1</f>
        <v>2Q18</v>
      </c>
      <c r="AB43" s="527" t="str">
        <f>'Revenue, EBITDA, capex breakout'!AB$1</f>
        <v>3Q18</v>
      </c>
      <c r="AC43" s="527" t="str">
        <f>'Revenue, EBITDA, capex breakout'!AC$1</f>
        <v>4Q18</v>
      </c>
      <c r="AD43" s="527" t="str">
        <f t="shared" ref="AD43:AI43" si="23">AD1</f>
        <v>1Q19</v>
      </c>
      <c r="AE43" s="527" t="str">
        <f t="shared" si="23"/>
        <v>2Q19</v>
      </c>
      <c r="AF43" s="527" t="str">
        <f t="shared" si="23"/>
        <v>3Q19</v>
      </c>
      <c r="AG43" s="527" t="str">
        <f t="shared" si="23"/>
        <v>4Q19</v>
      </c>
      <c r="AH43" s="527" t="str">
        <f t="shared" si="23"/>
        <v>1Q20</v>
      </c>
      <c r="AI43" s="527" t="str">
        <f t="shared" si="23"/>
        <v>2Q20</v>
      </c>
      <c r="AJ43" s="527" t="str">
        <f t="shared" ref="AJ43:AK43" si="24">AJ1</f>
        <v>3Q20</v>
      </c>
      <c r="AK43" s="527" t="str">
        <f t="shared" si="24"/>
        <v>4Q20</v>
      </c>
      <c r="AL43" s="527" t="str">
        <f t="shared" ref="AL43:AM43" si="25">AL1</f>
        <v>1Q21</v>
      </c>
      <c r="AM43" s="527" t="str">
        <f t="shared" si="25"/>
        <v>2Q21</v>
      </c>
      <c r="AN43" s="527" t="str">
        <f t="shared" ref="AN43:AO43" si="26">AN1</f>
        <v>3Q21</v>
      </c>
      <c r="AO43" s="527" t="str">
        <f t="shared" si="26"/>
        <v>4Q21</v>
      </c>
      <c r="AP43" s="527" t="str">
        <f t="shared" ref="AP43:AQ43" si="27">AP1</f>
        <v>1Q22</v>
      </c>
      <c r="AQ43" s="527" t="str">
        <f t="shared" si="27"/>
        <v>2Q22</v>
      </c>
      <c r="AR43" s="527" t="str">
        <f t="shared" ref="AR43:AS43" si="28">AR1</f>
        <v>3Q22</v>
      </c>
      <c r="AS43" s="527" t="str">
        <f t="shared" si="28"/>
        <v>4Q22</v>
      </c>
      <c r="AT43" s="527" t="str">
        <f t="shared" ref="AT43:AU43" si="29">AT1</f>
        <v>1Q23</v>
      </c>
      <c r="AU43" s="527" t="str">
        <f t="shared" si="29"/>
        <v>2Q23</v>
      </c>
      <c r="AV43" s="527" t="str">
        <f t="shared" ref="AV43:AW43" si="30">AV1</f>
        <v>3Q23</v>
      </c>
      <c r="AW43" s="527" t="str">
        <f t="shared" si="30"/>
        <v>4Q23</v>
      </c>
      <c r="AX43" s="527" t="str">
        <f t="shared" ref="AX43:AY43" si="31">AX1</f>
        <v>1Q24</v>
      </c>
      <c r="AY43" s="527" t="str">
        <f t="shared" si="31"/>
        <v>2Q24</v>
      </c>
      <c r="AZ43" s="527" t="str">
        <f t="shared" ref="AZ43:BA43" si="32">AZ1</f>
        <v>3Q24</v>
      </c>
      <c r="BA43" s="527" t="str">
        <f t="shared" si="32"/>
        <v>4Q24</v>
      </c>
      <c r="BB43" s="527" t="str">
        <f t="shared" ref="BB43:BC43" si="33">BB1</f>
        <v>1Q25</v>
      </c>
      <c r="BC43" s="527" t="str">
        <f t="shared" si="33"/>
        <v>2Q25</v>
      </c>
      <c r="BD43" s="527"/>
      <c r="BE43" s="510" t="s">
        <v>209</v>
      </c>
      <c r="BF43" s="176"/>
    </row>
    <row r="44" spans="1:58" s="27" customFormat="1" ht="15.35">
      <c r="A44" s="510" t="s">
        <v>168</v>
      </c>
      <c r="B44" s="527"/>
      <c r="C44" s="527"/>
      <c r="D44" s="527"/>
      <c r="E44" s="527"/>
      <c r="F44" s="527"/>
      <c r="G44" s="527"/>
      <c r="H44" s="527"/>
      <c r="I44" s="527"/>
      <c r="J44" s="527"/>
      <c r="K44" s="527"/>
      <c r="L44" s="527"/>
      <c r="M44" s="527"/>
      <c r="N44" s="527"/>
      <c r="O44" s="527"/>
      <c r="P44" s="527"/>
      <c r="Q44" s="527"/>
      <c r="R44" s="527"/>
      <c r="S44" s="527"/>
      <c r="T44" s="527"/>
      <c r="U44" s="527"/>
      <c r="V44" s="527"/>
      <c r="W44" s="527"/>
      <c r="X44" s="527"/>
      <c r="Y44" s="527"/>
      <c r="Z44" s="527"/>
      <c r="AA44" s="527"/>
      <c r="AB44" s="527"/>
      <c r="AC44" s="527"/>
      <c r="AD44" s="527"/>
      <c r="AE44" s="527"/>
      <c r="AF44" s="528"/>
      <c r="AG44" s="528"/>
      <c r="AH44" s="528"/>
      <c r="AI44" s="528"/>
      <c r="AJ44" s="528"/>
      <c r="AK44" s="528"/>
      <c r="AL44" s="528"/>
      <c r="AM44" s="528"/>
      <c r="AN44" s="528"/>
      <c r="AO44" s="528"/>
      <c r="AP44" s="528"/>
      <c r="AQ44" s="528"/>
      <c r="AR44" s="528"/>
      <c r="AS44" s="528"/>
      <c r="AT44" s="528"/>
      <c r="AU44" s="528"/>
      <c r="AV44" s="528"/>
      <c r="AW44" s="528"/>
      <c r="AX44" s="528"/>
      <c r="AY44" s="528"/>
      <c r="AZ44" s="528"/>
      <c r="BA44" s="528"/>
      <c r="BB44" s="528"/>
      <c r="BC44" s="528"/>
      <c r="BD44" s="527"/>
      <c r="BE44" s="510"/>
      <c r="BF44" s="176"/>
    </row>
    <row r="45" spans="1:58">
      <c r="A45" s="10"/>
      <c r="R45" s="13" t="s">
        <v>188</v>
      </c>
      <c r="AE45" s="2"/>
    </row>
    <row r="46" spans="1:58">
      <c r="A46" s="2" t="s">
        <v>153</v>
      </c>
      <c r="B46" s="4"/>
      <c r="C46" s="4"/>
      <c r="D46" s="4"/>
      <c r="E46" s="4"/>
      <c r="F46" s="4">
        <f t="shared" ref="F46:AC46" si="34">F4/B4-1</f>
        <v>-1.5063957179360488E-2</v>
      </c>
      <c r="G46" s="4">
        <f t="shared" si="34"/>
        <v>-1.6042067307692309E-2</v>
      </c>
      <c r="H46" s="4">
        <f t="shared" si="34"/>
        <v>-1.1644558335845656E-2</v>
      </c>
      <c r="I46" s="4">
        <f t="shared" si="34"/>
        <v>4.0125196477334146E-3</v>
      </c>
      <c r="J46" s="4">
        <f t="shared" si="34"/>
        <v>5.2358459944870095E-3</v>
      </c>
      <c r="K46" s="4">
        <f t="shared" si="34"/>
        <v>1.9320456896878113E-2</v>
      </c>
      <c r="L46" s="4">
        <f t="shared" si="34"/>
        <v>2.3301483204331452E-2</v>
      </c>
      <c r="M46" s="4">
        <f t="shared" si="34"/>
        <v>2.2256911975681248E-2</v>
      </c>
      <c r="N46" s="4">
        <f t="shared" si="34"/>
        <v>1.8508772489890024E-2</v>
      </c>
      <c r="O46" s="4">
        <f t="shared" si="34"/>
        <v>1.0222359767984468E-2</v>
      </c>
      <c r="P46" s="4">
        <f t="shared" si="34"/>
        <v>9.9065031659435476E-3</v>
      </c>
      <c r="Q46" s="4">
        <f t="shared" si="34"/>
        <v>1.6345856744397702E-2</v>
      </c>
      <c r="R46" s="47">
        <f t="shared" si="34"/>
        <v>-0.49039591916063929</v>
      </c>
      <c r="S46" s="47">
        <f t="shared" si="34"/>
        <v>-0.46904408532825925</v>
      </c>
      <c r="T46" s="47">
        <f t="shared" si="34"/>
        <v>-0.44696713569270663</v>
      </c>
      <c r="U46" s="47">
        <f t="shared" si="34"/>
        <v>-0.42850385685338321</v>
      </c>
      <c r="V46" s="4">
        <f t="shared" si="34"/>
        <v>0.18301077171290303</v>
      </c>
      <c r="W46" s="4">
        <f t="shared" si="34"/>
        <v>0.1636669915770792</v>
      </c>
      <c r="X46" s="4">
        <f t="shared" si="34"/>
        <v>0.12204913079512081</v>
      </c>
      <c r="Y46" s="4">
        <f t="shared" si="34"/>
        <v>9.2323764766194527E-2</v>
      </c>
      <c r="Z46" s="4">
        <f t="shared" si="34"/>
        <v>5.8096437546469426E-2</v>
      </c>
      <c r="AA46" s="4">
        <f t="shared" si="34"/>
        <v>3.6281864827374388E-2</v>
      </c>
      <c r="AB46" s="4">
        <f t="shared" si="34"/>
        <v>2.9361433324164965E-2</v>
      </c>
      <c r="AC46" s="4">
        <f t="shared" si="34"/>
        <v>2.0166306242675125E-2</v>
      </c>
      <c r="AD46" s="58">
        <f t="shared" ref="AD46:AM46" si="35">AD4/Z4-1</f>
        <v>2.4195456849408936E-2</v>
      </c>
      <c r="AE46" s="58">
        <f t="shared" si="35"/>
        <v>2.491115649927389E-2</v>
      </c>
      <c r="AF46" s="55">
        <f t="shared" si="35"/>
        <v>3.7390429513370682E-2</v>
      </c>
      <c r="AG46" s="55">
        <f t="shared" si="35"/>
        <v>4.4981196918012056E-2</v>
      </c>
      <c r="AH46" s="55">
        <f t="shared" si="35"/>
        <v>7.0081357664002919E-2</v>
      </c>
      <c r="AI46" s="55">
        <f t="shared" si="35"/>
        <v>6.2010961549026522E-2</v>
      </c>
      <c r="AJ46" s="55">
        <f t="shared" si="35"/>
        <v>4.7440979955456708E-2</v>
      </c>
      <c r="AK46" s="55">
        <f t="shared" si="35"/>
        <v>6.3436123348017626E-2</v>
      </c>
      <c r="AL46" s="55">
        <f t="shared" si="35"/>
        <v>4.5687446626814676E-2</v>
      </c>
      <c r="AM46" s="55">
        <f t="shared" si="35"/>
        <v>9.6987380541748935E-2</v>
      </c>
      <c r="AN46" s="55">
        <f t="shared" ref="AN46:AS46" si="36">AN4/AJ4-1</f>
        <v>0.18774997288970252</v>
      </c>
      <c r="AO46" s="55">
        <f t="shared" si="36"/>
        <v>0.27030461651744409</v>
      </c>
      <c r="AP46" s="55">
        <f t="shared" si="36"/>
        <v>0.36860365221441804</v>
      </c>
      <c r="AQ46" s="55">
        <f t="shared" si="36"/>
        <v>0.48142668895257668</v>
      </c>
      <c r="AR46" s="55">
        <f t="shared" si="36"/>
        <v>0.4894378804153241</v>
      </c>
      <c r="AS46" s="55">
        <f t="shared" si="36"/>
        <v>0.46191996344393149</v>
      </c>
      <c r="AT46" s="55">
        <f t="shared" ref="AT46:BC46" si="37">AT4/AP4-1</f>
        <v>0.42998017450682746</v>
      </c>
      <c r="AU46" s="55">
        <f t="shared" si="37"/>
        <v>0.3642784349306103</v>
      </c>
      <c r="AV46" s="55">
        <f t="shared" si="37"/>
        <v>0.35627123629807711</v>
      </c>
      <c r="AW46" s="55">
        <f t="shared" si="37"/>
        <v>0.34869648516618357</v>
      </c>
      <c r="AX46" s="55">
        <f t="shared" si="37"/>
        <v>0.34774900028189593</v>
      </c>
      <c r="AY46" s="55">
        <f t="shared" si="37"/>
        <v>0.3302986109896755</v>
      </c>
      <c r="AZ46" s="55">
        <f t="shared" si="37"/>
        <v>0.29204859970764896</v>
      </c>
      <c r="BA46" s="55">
        <f t="shared" si="37"/>
        <v>0.26045191160621917</v>
      </c>
      <c r="BB46" s="55">
        <f t="shared" si="37"/>
        <v>0.23370555254970871</v>
      </c>
      <c r="BC46" s="55">
        <f t="shared" si="37"/>
        <v>0.23395151180385509</v>
      </c>
      <c r="BD46" s="4"/>
      <c r="BE46" s="2" t="s">
        <v>809</v>
      </c>
    </row>
    <row r="47" spans="1:58">
      <c r="A47" s="2" t="s">
        <v>152</v>
      </c>
      <c r="B47" s="4"/>
      <c r="C47" s="4"/>
      <c r="D47" s="4"/>
      <c r="E47" s="4"/>
      <c r="F47" s="4"/>
      <c r="G47" s="4"/>
      <c r="H47" s="4"/>
      <c r="I47" s="4"/>
      <c r="J47" s="4"/>
      <c r="K47" s="4"/>
      <c r="L47" s="4">
        <f t="shared" ref="L47:AC47" si="38">L5/H5-1</f>
        <v>5.2700824662166523E-2</v>
      </c>
      <c r="M47" s="4">
        <f t="shared" si="38"/>
        <v>5.1616294823005671E-2</v>
      </c>
      <c r="N47" s="4">
        <f t="shared" si="38"/>
        <v>3.9882734270331621E-2</v>
      </c>
      <c r="O47" s="4">
        <f t="shared" si="38"/>
        <v>2.7623977726059401E-2</v>
      </c>
      <c r="P47" s="4">
        <f t="shared" si="38"/>
        <v>2.3290757382228522E-2</v>
      </c>
      <c r="Q47" s="4">
        <f t="shared" si="38"/>
        <v>3.1698456160409894E-2</v>
      </c>
      <c r="R47" s="4">
        <f t="shared" si="38"/>
        <v>-2.2727068603729528E-3</v>
      </c>
      <c r="S47" s="4">
        <f t="shared" si="38"/>
        <v>4.9561675165652463E-2</v>
      </c>
      <c r="T47" s="4">
        <f t="shared" si="38"/>
        <v>0.10537187210879773</v>
      </c>
      <c r="U47" s="4">
        <f t="shared" si="38"/>
        <v>0.14814238565649851</v>
      </c>
      <c r="V47" s="4">
        <f t="shared" si="38"/>
        <v>0.24151372599491028</v>
      </c>
      <c r="W47" s="4">
        <f t="shared" si="38"/>
        <v>0.22216299582522914</v>
      </c>
      <c r="X47" s="4">
        <f t="shared" si="38"/>
        <v>0.16802917278428331</v>
      </c>
      <c r="Y47" s="4">
        <f t="shared" si="38"/>
        <v>0.13539515630981303</v>
      </c>
      <c r="Z47" s="4">
        <f t="shared" si="38"/>
        <v>9.233336245842616E-2</v>
      </c>
      <c r="AA47" s="4">
        <f t="shared" si="38"/>
        <v>5.4731266472070272E-2</v>
      </c>
      <c r="AB47" s="4">
        <f t="shared" si="38"/>
        <v>5.2686204265666614E-2</v>
      </c>
      <c r="AC47" s="4">
        <f t="shared" si="38"/>
        <v>3.8601669379155101E-2</v>
      </c>
      <c r="AD47" s="58">
        <f>AD5/Z5-1</f>
        <v>4.1816389985402269E-2</v>
      </c>
      <c r="AE47" s="58">
        <f>AE5/AA5-1</f>
        <v>5.9402157706146985E-2</v>
      </c>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4"/>
    </row>
    <row r="48" spans="1:58">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58"/>
      <c r="AE48" s="58"/>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4"/>
    </row>
    <row r="49" spans="1:58">
      <c r="A49" s="2" t="s">
        <v>154</v>
      </c>
      <c r="B49" s="4"/>
      <c r="C49" s="4"/>
      <c r="D49" s="4"/>
      <c r="E49" s="4"/>
      <c r="F49" s="4">
        <f t="shared" ref="F49:AC49" si="39">F8/B8-1</f>
        <v>1.0749835598449664E-2</v>
      </c>
      <c r="G49" s="4">
        <f t="shared" si="39"/>
        <v>1.6290019024307822E-2</v>
      </c>
      <c r="H49" s="4">
        <f t="shared" si="39"/>
        <v>6.2354690647405508E-2</v>
      </c>
      <c r="I49" s="4">
        <f t="shared" si="39"/>
        <v>4.7453499511579622E-2</v>
      </c>
      <c r="J49" s="4">
        <f t="shared" si="39"/>
        <v>-3.9717461999600689E-2</v>
      </c>
      <c r="K49" s="4">
        <f t="shared" si="39"/>
        <v>-2.6968254053921226E-2</v>
      </c>
      <c r="L49" s="4">
        <f t="shared" si="39"/>
        <v>-2.0063454460048757E-2</v>
      </c>
      <c r="M49" s="4">
        <f t="shared" si="39"/>
        <v>-1.4714790602954442E-2</v>
      </c>
      <c r="N49" s="4">
        <f t="shared" si="39"/>
        <v>9.3027096356778527E-2</v>
      </c>
      <c r="O49" s="4">
        <f t="shared" si="39"/>
        <v>8.4306134836288571E-2</v>
      </c>
      <c r="P49" s="4">
        <f t="shared" si="39"/>
        <v>8.6417587291613307E-2</v>
      </c>
      <c r="Q49" s="4">
        <f t="shared" si="39"/>
        <v>7.3573134976134158E-2</v>
      </c>
      <c r="R49" s="47">
        <f t="shared" si="39"/>
        <v>0.1693700508524203</v>
      </c>
      <c r="S49" s="47">
        <f t="shared" si="39"/>
        <v>0.14566408262913844</v>
      </c>
      <c r="T49" s="47">
        <f t="shared" si="39"/>
        <v>0.11285720067949789</v>
      </c>
      <c r="U49" s="47">
        <f t="shared" si="39"/>
        <v>0.11022424446178269</v>
      </c>
      <c r="V49" s="4">
        <f t="shared" si="39"/>
        <v>-5.3788153332864019E-2</v>
      </c>
      <c r="W49" s="4">
        <f t="shared" si="39"/>
        <v>-2.5899773578913821E-2</v>
      </c>
      <c r="X49" s="4">
        <f t="shared" si="39"/>
        <v>-3.5924151057114107E-2</v>
      </c>
      <c r="Y49" s="4">
        <f t="shared" si="39"/>
        <v>-7.3430483902795052E-2</v>
      </c>
      <c r="Z49" s="4">
        <f t="shared" si="39"/>
        <v>-6.1766192291066835E-2</v>
      </c>
      <c r="AA49" s="4">
        <f t="shared" si="39"/>
        <v>-0.13456313121054519</v>
      </c>
      <c r="AB49" s="4">
        <f t="shared" si="39"/>
        <v>-0.14673758439962059</v>
      </c>
      <c r="AC49" s="4">
        <f t="shared" si="39"/>
        <v>-0.1262559934522014</v>
      </c>
      <c r="AD49" s="58">
        <f t="shared" ref="AD49:AM49" si="40">AD8/Z8-1</f>
        <v>-0.16159427421717354</v>
      </c>
      <c r="AE49" s="58">
        <f t="shared" si="40"/>
        <v>-0.14399543203921239</v>
      </c>
      <c r="AF49" s="55">
        <f t="shared" si="40"/>
        <v>-0.13433443604135753</v>
      </c>
      <c r="AG49" s="55">
        <f t="shared" si="40"/>
        <v>-0.12307157961977966</v>
      </c>
      <c r="AH49" s="55">
        <f t="shared" si="40"/>
        <v>-6.1492604310883214E-2</v>
      </c>
      <c r="AI49" s="55">
        <f t="shared" si="40"/>
        <v>-8.2198749755299616E-2</v>
      </c>
      <c r="AJ49" s="55">
        <f t="shared" si="40"/>
        <v>-4.0826406998670128E-2</v>
      </c>
      <c r="AK49" s="55">
        <f t="shared" si="40"/>
        <v>-1.4407222106617601E-2</v>
      </c>
      <c r="AL49" s="55">
        <f t="shared" si="40"/>
        <v>-2.7878787878787836E-2</v>
      </c>
      <c r="AM49" s="55">
        <f t="shared" si="40"/>
        <v>7.7473198354038875E-3</v>
      </c>
      <c r="AN49" s="55">
        <f t="shared" ref="AN49:AS49" si="41">AN8/AJ8-1</f>
        <v>-0.10474089584905355</v>
      </c>
      <c r="AO49" s="55">
        <f t="shared" si="41"/>
        <v>-0.1483857065385018</v>
      </c>
      <c r="AP49" s="55">
        <f t="shared" si="41"/>
        <v>-0.1508728179551122</v>
      </c>
      <c r="AQ49" s="55">
        <f t="shared" si="41"/>
        <v>-0.15583218733164428</v>
      </c>
      <c r="AR49" s="55">
        <f t="shared" si="41"/>
        <v>-6.8085106382978711E-2</v>
      </c>
      <c r="AS49" s="55">
        <f t="shared" si="41"/>
        <v>-4.9799415063585539E-2</v>
      </c>
      <c r="AT49" s="55">
        <f t="shared" ref="AT49:BC49" si="42">AT8/AP8-1</f>
        <v>-4.2502484176508148E-2</v>
      </c>
      <c r="AU49" s="55">
        <f t="shared" si="42"/>
        <v>-2.2827615868918683E-2</v>
      </c>
      <c r="AV49" s="55">
        <f t="shared" si="42"/>
        <v>-5.0770999828197549E-2</v>
      </c>
      <c r="AW49" s="55">
        <f t="shared" si="42"/>
        <v>-5.4984991854889143E-2</v>
      </c>
      <c r="AX49" s="55">
        <f t="shared" si="42"/>
        <v>-6.7144530129635616E-2</v>
      </c>
      <c r="AY49" s="55">
        <f t="shared" si="42"/>
        <v>-7.8796050319301703E-2</v>
      </c>
      <c r="AZ49" s="55">
        <f t="shared" si="42"/>
        <v>-6.4853330720642477E-2</v>
      </c>
      <c r="BA49" s="55">
        <f t="shared" si="42"/>
        <v>-5.9889842840724183E-2</v>
      </c>
      <c r="BB49" s="55">
        <f t="shared" si="42"/>
        <v>-5.9549677828159231E-2</v>
      </c>
      <c r="BC49" s="55">
        <f t="shared" si="42"/>
        <v>-4.8446612483764806E-2</v>
      </c>
      <c r="BD49" s="4"/>
      <c r="BE49" s="2" t="s">
        <v>784</v>
      </c>
    </row>
    <row r="50" spans="1:58">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58"/>
      <c r="AE50" s="58"/>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4"/>
    </row>
    <row r="51" spans="1:58">
      <c r="A51" s="2" t="s">
        <v>137</v>
      </c>
      <c r="B51" s="8"/>
      <c r="C51" s="8"/>
      <c r="D51" s="8"/>
      <c r="E51" s="8"/>
      <c r="F51" s="8"/>
      <c r="G51" s="8"/>
      <c r="H51" s="43">
        <v>4342.9639999999999</v>
      </c>
      <c r="I51" s="43">
        <v>4329.45</v>
      </c>
      <c r="J51" s="43">
        <v>4002.2480000000005</v>
      </c>
      <c r="K51" s="43">
        <v>3990.6130000000003</v>
      </c>
      <c r="L51" s="43">
        <v>3908.1239999999998</v>
      </c>
      <c r="M51" s="43">
        <v>3922.6859999999997</v>
      </c>
      <c r="N51" s="43">
        <v>3939.4399999999996</v>
      </c>
      <c r="O51" s="43">
        <v>3917.16</v>
      </c>
      <c r="P51" s="43">
        <v>3742.2849999999999</v>
      </c>
      <c r="Q51" s="43">
        <v>3781.8149999999996</v>
      </c>
      <c r="R51" s="15">
        <f>'Other India financials'!R6*(1-'Other India Operations'!R10)</f>
        <v>939.07687217246462</v>
      </c>
      <c r="S51" s="15">
        <f>'Other India financials'!S6*(1-'Other India Operations'!S10)</f>
        <v>937.31375387000014</v>
      </c>
      <c r="T51" s="15">
        <f>'Other India financials'!T6*(1-'Other India Operations'!T10)</f>
        <v>874.21362255999998</v>
      </c>
      <c r="U51" s="15">
        <f>'Other India financials'!U6*(1-'Other India Operations'!U10)</f>
        <v>892.56659463999961</v>
      </c>
      <c r="V51" s="15">
        <f>'Other India financials'!V6*(1-'Other India Operations'!V10)</f>
        <v>768.78803590113569</v>
      </c>
      <c r="W51" s="15">
        <f>'Other India financials'!W6*(1-'Other India Operations'!W10)</f>
        <v>942.71772901882252</v>
      </c>
      <c r="X51" s="15">
        <f>'Other India financials'!X6*(1-'Other India Operations'!X10)</f>
        <v>847.59872287886753</v>
      </c>
      <c r="Y51" s="15">
        <f>'Other India financials'!Y6*(1-'Other India Operations'!Y10)</f>
        <v>718.66204203349446</v>
      </c>
      <c r="Z51" s="15">
        <f>'Other India financials'!Z6*(1-'Other India Operations'!Z10)</f>
        <v>729.11378658871547</v>
      </c>
      <c r="AA51" s="15">
        <f>'Other India financials'!AA6*(1-'Other India Operations'!AA10)</f>
        <v>611.23199999999986</v>
      </c>
      <c r="AB51" s="15">
        <f>'Other India financials'!AB6*(1-'Other India Operations'!AB10)</f>
        <v>602.92825904781512</v>
      </c>
      <c r="AC51" s="15">
        <f>'Other India financials'!AC6*(1-'Other India Operations'!AC10)</f>
        <v>519.57175807606609</v>
      </c>
      <c r="AD51" s="54">
        <f>'Other India financials'!AD6*(1-'Other India Operations'!AD10)</f>
        <v>454.99999995802301</v>
      </c>
      <c r="AE51" s="54">
        <f>'Other India financials'!AE6*(1-'Other India Operations'!AE10)</f>
        <v>412.32061007634127</v>
      </c>
      <c r="AF51" s="54">
        <f>'Other India financials'!AF6*(1-'Other India Operations'!AF10)</f>
        <v>393.63603499064249</v>
      </c>
      <c r="AG51" s="54">
        <f>'Other India financials'!AG6*(1-'Other India Operations'!AG10)</f>
        <v>384.9077904889898</v>
      </c>
      <c r="AH51" s="54">
        <f>'Other India financials'!AH6*(1-'Other India Operations'!AH10)</f>
        <v>385.25714501528773</v>
      </c>
      <c r="AI51" s="54">
        <f>'Other India financials'!AI6*(1-'Other India Operations'!AI10)</f>
        <v>358.79412887379942</v>
      </c>
      <c r="AJ51" s="54">
        <f>'Other India financials'!AJ6*(1-'Other India Operations'!AJ10)</f>
        <v>352.37886954051913</v>
      </c>
      <c r="AK51" s="54">
        <f>'Other India financials'!AK6*(1-'Other India Operations'!AK10)</f>
        <v>352.2841936017054</v>
      </c>
      <c r="AL51" s="54">
        <f>'Other India financials'!AL6*(1-'Other India Operations'!AL10)</f>
        <v>344.43767997401858</v>
      </c>
      <c r="AM51" s="54">
        <f>'Other India financials'!AM6*(1-'Other India Operations'!AM10)</f>
        <v>337.91663020023208</v>
      </c>
      <c r="AN51" s="54">
        <f>'Other India financials'!AN6*(1-'Other India Operations'!AN10)</f>
        <v>315.08295449185329</v>
      </c>
      <c r="AO51" s="54">
        <f>'Other India financials'!AO6*(1-'Other India Operations'!AO10)</f>
        <v>321.68560771926957</v>
      </c>
      <c r="AP51" s="54">
        <f>'Other India financials'!AP6*(1-'Other India Operations'!AP10)</f>
        <v>336.64626376592634</v>
      </c>
      <c r="AQ51" s="54">
        <f>'Other India financials'!AQ6*(1-'Other India Operations'!AQ10)</f>
        <v>353.02293269106258</v>
      </c>
      <c r="AR51" s="54">
        <f>'Other India financials'!AR6*(1-'Other India Operations'!AR10)</f>
        <v>378.7794745344803</v>
      </c>
      <c r="AS51" s="54">
        <f>'Other India financials'!AS6*(1-'Other India Operations'!AS10)</f>
        <v>398.96430659512163</v>
      </c>
      <c r="AT51" s="54">
        <f>'Other India financials'!AT6*(1-'Other India Operations'!AT10)</f>
        <v>403.31695594539366</v>
      </c>
      <c r="AU51" s="54">
        <f>'Other India financials'!AU6*(1-'Other India Operations'!AU10)</f>
        <v>411.11252582821714</v>
      </c>
      <c r="AV51" s="54">
        <f>'Other India financials'!AV6*(1-'Other India Operations'!AV10)</f>
        <v>408.89751898771448</v>
      </c>
      <c r="AW51" s="54">
        <f>'Other India financials'!AW6*(1-'Other India Operations'!AW10)</f>
        <v>411.58730758871945</v>
      </c>
      <c r="AX51" s="54">
        <f>'Other India financials'!AX6*(1-'Other India Operations'!AX10)</f>
        <v>412.92813793654517</v>
      </c>
      <c r="AY51" s="54">
        <f>'Other India financials'!AY6*(1-'Other India Operations'!AY10)</f>
        <v>409.35413380853373</v>
      </c>
      <c r="AZ51" s="54">
        <f>'Other India financials'!AZ6*(1-'Other India Operations'!AZ10)</f>
        <v>401.04256986185584</v>
      </c>
      <c r="BA51" s="54">
        <f>'Other India financials'!BA6*(1-'Other India Operations'!BA10)</f>
        <v>388.5091065251957</v>
      </c>
      <c r="BB51" s="54">
        <f>'Other India financials'!BB6*(1-'Other India Operations'!BB10)</f>
        <v>376.37849163558633</v>
      </c>
      <c r="BC51" s="54">
        <f>'Other India financials'!BC6*(1-'Other India Operations'!BC10)</f>
        <v>365.66058805510107</v>
      </c>
      <c r="BD51" s="15"/>
    </row>
    <row r="52" spans="1:58">
      <c r="A52" s="2" t="s">
        <v>138</v>
      </c>
      <c r="B52" s="8"/>
      <c r="C52" s="8"/>
      <c r="D52" s="8"/>
      <c r="E52" s="8"/>
      <c r="F52" s="8"/>
      <c r="G52" s="8"/>
      <c r="H52" s="43">
        <v>5223.0360000000001</v>
      </c>
      <c r="I52" s="43">
        <v>5291.55</v>
      </c>
      <c r="J52" s="43">
        <v>5481.7519999999995</v>
      </c>
      <c r="K52" s="43">
        <v>5766.3869999999997</v>
      </c>
      <c r="L52" s="43">
        <v>5960.8760000000002</v>
      </c>
      <c r="M52" s="43">
        <v>6319.3140000000003</v>
      </c>
      <c r="N52" s="43">
        <v>6765.56</v>
      </c>
      <c r="O52" s="43">
        <v>7242.84</v>
      </c>
      <c r="P52" s="43">
        <v>7428.7150000000001</v>
      </c>
      <c r="Q52" s="43">
        <v>7507.1850000000004</v>
      </c>
      <c r="R52" s="15">
        <f>'Other India financials'!R6-'Other India Operations'!R51</f>
        <v>5047.9261838275361</v>
      </c>
      <c r="S52" s="15">
        <f>'Other India financials'!S6-'Other India Operations'!S51</f>
        <v>5211.8848941300002</v>
      </c>
      <c r="T52" s="15">
        <f>'Other India financials'!T6-'Other India Operations'!T51</f>
        <v>5468.5818894399981</v>
      </c>
      <c r="U52" s="15">
        <f>'Other India financials'!U6-'Other India Operations'!U51</f>
        <v>5694.6877373600018</v>
      </c>
      <c r="V52" s="15">
        <f>'Other India financials'!V6-'Other India Operations'!V51</f>
        <v>5875.2346050988635</v>
      </c>
      <c r="W52" s="15">
        <f>'Other India financials'!W6-'Other India Operations'!W51</f>
        <v>6120.4411409811783</v>
      </c>
      <c r="X52" s="15">
        <f>'Other India financials'!X6-'Other India Operations'!X51</f>
        <v>6177.8583821211323</v>
      </c>
      <c r="Y52" s="15">
        <f>'Other India financials'!Y6-'Other India Operations'!Y51</f>
        <v>6066.3553079665089</v>
      </c>
      <c r="Z52" s="15">
        <f>'Other India financials'!Z6-'Other India Operations'!Z51</f>
        <v>5974.3273684112837</v>
      </c>
      <c r="AA52" s="15">
        <f>'Other India financials'!AA6-'Other India Operations'!AA51</f>
        <v>5755.768</v>
      </c>
      <c r="AB52" s="15">
        <f>'Other India financials'!AB6-'Other India Operations'!AB51</f>
        <v>5549.8368989521878</v>
      </c>
      <c r="AC52" s="15">
        <f>'Other India financials'!AC6-'Other India Operations'!AC51</f>
        <v>5521.9837359239318</v>
      </c>
      <c r="AD52" s="54">
        <f>'Other India financials'!AD6-'Other India Operations'!AD51</f>
        <v>5289.856552041977</v>
      </c>
      <c r="AE52" s="54">
        <f>'Other India financials'!AE6-'Other India Operations'!AE51</f>
        <v>5194.9527659236592</v>
      </c>
      <c r="AF52" s="54">
        <f>'Other India financials'!AF6-'Other India Operations'!AF51</f>
        <v>5109.2098720093572</v>
      </c>
      <c r="AG52" s="54">
        <f>'Other India financials'!AG6-'Other India Operations'!AG51</f>
        <v>5150.6915085110086</v>
      </c>
      <c r="AH52" s="54">
        <f>'Other India financials'!AH6-'Other India Operations'!AH51</f>
        <v>5319.4524209847132</v>
      </c>
      <c r="AI52" s="54">
        <f>'Other India financials'!AI6-'Other India Operations'!AI51</f>
        <v>5116.2058711262007</v>
      </c>
      <c r="AJ52" s="54">
        <f>'Other India financials'!AJ6-'Other India Operations'!AJ51</f>
        <v>5193.9970804594832</v>
      </c>
      <c r="AK52" s="54">
        <f>'Other India financials'!AK6-'Other India Operations'!AK51</f>
        <v>5372.8258473982951</v>
      </c>
      <c r="AL52" s="54">
        <f>'Other India financials'!AL6-'Other India Operations'!AL51</f>
        <v>5441.2051060259819</v>
      </c>
      <c r="AM52" s="54">
        <f>'Other India financials'!AM6-'Other India Operations'!AM51</f>
        <v>5535.5056997997672</v>
      </c>
      <c r="AN52" s="54">
        <f>'Other India financials'!AN6-'Other India Operations'!AN51</f>
        <v>5358.6959875081457</v>
      </c>
      <c r="AO52" s="54">
        <f>'Other India financials'!AO6-'Other India Operations'!AO51</f>
        <v>5687.4033802807317</v>
      </c>
      <c r="AP52" s="54">
        <f>'Other India financials'!AP6-'Other India Operations'!AP51</f>
        <v>6195.9663462340741</v>
      </c>
      <c r="AQ52" s="54">
        <f>'Other India financials'!AQ6-'Other India Operations'!AQ51</f>
        <v>6773.977067308937</v>
      </c>
      <c r="AR52" s="54">
        <f>'Other India financials'!AR6-'Other India Operations'!AR51</f>
        <v>7589.9598474655177</v>
      </c>
      <c r="AS52" s="54">
        <f>'Other India financials'!AS6-'Other India Operations'!AS51</f>
        <v>8363.0935424048785</v>
      </c>
      <c r="AT52" s="54">
        <f>'Other India financials'!AT6-'Other India Operations'!AT51</f>
        <v>8861.2717890546046</v>
      </c>
      <c r="AU52" s="54">
        <f>'Other India financials'!AU6-'Other India Operations'!AU51</f>
        <v>9487.3008151717859</v>
      </c>
      <c r="AV52" s="54">
        <f>'Other India financials'!AV6-'Other India Operations'!AV51</f>
        <v>9934.2516720122858</v>
      </c>
      <c r="AW52" s="54">
        <f>'Other India financials'!AW6-'Other India Operations'!AW51</f>
        <v>10554.373235411278</v>
      </c>
      <c r="AX52" s="54">
        <f>'Other India financials'!AX6-'Other India Operations'!AX51</f>
        <v>11207.990819063454</v>
      </c>
      <c r="AY52" s="54">
        <f>'Other India financials'!AY6-'Other India Operations'!AY51</f>
        <v>11798.083524191466</v>
      </c>
      <c r="AZ52" s="54">
        <f>'Other India financials'!AZ6-'Other India Operations'!AZ51</f>
        <v>12317.073501138142</v>
      </c>
      <c r="BA52" s="54">
        <f>'Other India financials'!BA6-'Other India Operations'!BA51</f>
        <v>12766.497652474807</v>
      </c>
      <c r="BB52" s="54">
        <f>'Other India financials'!BB6-'Other India Operations'!BB51</f>
        <v>13293.621508364413</v>
      </c>
      <c r="BC52" s="54">
        <f>'Other India financials'!BC6-'Other India Operations'!BC51</f>
        <v>13955.339411944899</v>
      </c>
      <c r="BD52" s="15"/>
    </row>
    <row r="53" spans="1:58">
      <c r="AE53" s="2"/>
    </row>
    <row r="54" spans="1:58">
      <c r="A54" s="2" t="s">
        <v>139</v>
      </c>
      <c r="H54" s="46">
        <f t="shared" ref="H54:Q54" si="43">H51*1000/AVERAGE(H4,G4)/3</f>
        <v>441.83047110170264</v>
      </c>
      <c r="I54" s="46">
        <f t="shared" si="43"/>
        <v>439.88786006740901</v>
      </c>
      <c r="J54" s="46">
        <f t="shared" si="43"/>
        <v>405.98003385696143</v>
      </c>
      <c r="K54" s="46">
        <f t="shared" si="43"/>
        <v>401.45186556909084</v>
      </c>
      <c r="L54" s="46">
        <f t="shared" si="43"/>
        <v>389.29541309900645</v>
      </c>
      <c r="M54" s="46">
        <f t="shared" si="43"/>
        <v>389.68264647386701</v>
      </c>
      <c r="N54" s="46">
        <f t="shared" si="43"/>
        <v>391.62711440979587</v>
      </c>
      <c r="O54" s="46">
        <f t="shared" si="43"/>
        <v>388.49348538805458</v>
      </c>
      <c r="P54" s="46">
        <f t="shared" si="43"/>
        <v>369.0616370808678</v>
      </c>
      <c r="Q54" s="46">
        <f t="shared" si="43"/>
        <v>370.82070892778347</v>
      </c>
      <c r="R54" s="5">
        <f>R51*1000/AVERAGE(R4)/3</f>
        <v>183.36084161686514</v>
      </c>
      <c r="S54" s="5">
        <f t="shared" ref="S54:X55" si="44">S51*1000/AVERAGE(S4,R4)/3</f>
        <v>178.66154255795394</v>
      </c>
      <c r="T54" s="5">
        <f t="shared" si="44"/>
        <v>159.06106622377996</v>
      </c>
      <c r="U54" s="5">
        <f t="shared" si="44"/>
        <v>155.64656505929625</v>
      </c>
      <c r="V54" s="5">
        <f t="shared" si="44"/>
        <v>129.13348981937762</v>
      </c>
      <c r="W54" s="5">
        <f t="shared" si="44"/>
        <v>153.17556722683958</v>
      </c>
      <c r="X54" s="5">
        <f t="shared" si="44"/>
        <v>134.9969977797079</v>
      </c>
      <c r="Y54" s="5">
        <f t="shared" ref="Y54:AC54" si="45">Y51*1000/AVERAGE(Y4,X4)/3</f>
        <v>113.21873743108534</v>
      </c>
      <c r="Z54" s="5">
        <f t="shared" si="45"/>
        <v>113.93483969214999</v>
      </c>
      <c r="AA54" s="5">
        <f t="shared" si="45"/>
        <v>94.854763187819117</v>
      </c>
      <c r="AB54" s="5">
        <f t="shared" si="45"/>
        <v>92.978109009892947</v>
      </c>
      <c r="AC54" s="5">
        <f t="shared" si="45"/>
        <v>79.878106195059573</v>
      </c>
      <c r="AD54" s="57">
        <f t="shared" ref="AD54:AG55" si="46">AD51*1000/AVERAGE(AD4,AC4)/3</f>
        <v>69.557403155830642</v>
      </c>
      <c r="AE54" s="57">
        <f t="shared" si="46"/>
        <v>62.452922469239269</v>
      </c>
      <c r="AF54" s="54">
        <f t="shared" si="46"/>
        <v>58.86872742024309</v>
      </c>
      <c r="AG54" s="54">
        <f t="shared" si="46"/>
        <v>56.833929935620489</v>
      </c>
      <c r="AH54" s="54">
        <f t="shared" ref="AH54:AO54" si="47">AH51*1000/AVERAGE(AH4,AG4)/3</f>
        <v>55.68909294814798</v>
      </c>
      <c r="AI54" s="54">
        <f t="shared" si="47"/>
        <v>50.979557953083173</v>
      </c>
      <c r="AJ54" s="54">
        <f t="shared" si="47"/>
        <v>49.966818361428118</v>
      </c>
      <c r="AK54" s="54">
        <f t="shared" si="47"/>
        <v>49.28252704966286</v>
      </c>
      <c r="AL54" s="54">
        <f t="shared" si="47"/>
        <v>47.218819655085149</v>
      </c>
      <c r="AM54" s="54">
        <f t="shared" si="47"/>
        <v>44.814267590984961</v>
      </c>
      <c r="AN54" s="54">
        <f>AN51*1000/AVERAGE(AN4,AM4)/3</f>
        <v>39.109740887992508</v>
      </c>
      <c r="AO54" s="54">
        <f t="shared" si="47"/>
        <v>36.59979694778842</v>
      </c>
      <c r="AP54" s="54">
        <f t="shared" ref="AP54:BC54" si="48">AP51*1000/AVERAGE(AP4,AO4)/3</f>
        <v>34.967739278961538</v>
      </c>
      <c r="AQ54" s="54">
        <f t="shared" si="48"/>
        <v>32.820823948355823</v>
      </c>
      <c r="AR54" s="54">
        <f t="shared" si="48"/>
        <v>31.648032295983651</v>
      </c>
      <c r="AS54" s="54">
        <f t="shared" si="48"/>
        <v>30.773597639332149</v>
      </c>
      <c r="AT54" s="54">
        <f t="shared" si="48"/>
        <v>28.986790436549821</v>
      </c>
      <c r="AU54" s="54">
        <f t="shared" si="48"/>
        <v>27.399121191041207</v>
      </c>
      <c r="AV54" s="54">
        <f t="shared" si="48"/>
        <v>25.119021561131959</v>
      </c>
      <c r="AW54" s="54">
        <f t="shared" si="48"/>
        <v>23.475754655736068</v>
      </c>
      <c r="AX54" s="54">
        <f t="shared" si="48"/>
        <v>22.012611919263914</v>
      </c>
      <c r="AY54" s="54">
        <f t="shared" si="48"/>
        <v>20.380032778862606</v>
      </c>
      <c r="AZ54" s="54">
        <f t="shared" si="48"/>
        <v>18.800556611638594</v>
      </c>
      <c r="BA54" s="54">
        <f t="shared" si="48"/>
        <v>17.370361725680855</v>
      </c>
      <c r="BB54" s="54">
        <f t="shared" si="48"/>
        <v>16.094667159548017</v>
      </c>
      <c r="BC54" s="54">
        <f t="shared" si="48"/>
        <v>14.754602640063998</v>
      </c>
      <c r="BD54" s="5"/>
    </row>
    <row r="55" spans="1:58">
      <c r="A55" s="2" t="s">
        <v>140</v>
      </c>
      <c r="H55" s="46">
        <f t="shared" ref="H55:Q55" si="49">H52*1000/AVERAGE(H5,G5)/3</f>
        <v>1260.7807507320465</v>
      </c>
      <c r="I55" s="46">
        <f t="shared" si="49"/>
        <v>1272.5329083423808</v>
      </c>
      <c r="J55" s="46">
        <f t="shared" si="49"/>
        <v>1307.1182275337846</v>
      </c>
      <c r="K55" s="46">
        <f t="shared" si="49"/>
        <v>1351.1552433249881</v>
      </c>
      <c r="L55" s="46">
        <f t="shared" si="49"/>
        <v>1372.9904337590663</v>
      </c>
      <c r="M55" s="46">
        <f t="shared" si="49"/>
        <v>1444.360089534448</v>
      </c>
      <c r="N55" s="46">
        <f t="shared" si="49"/>
        <v>1542.7143030180978</v>
      </c>
      <c r="O55" s="46">
        <f t="shared" si="49"/>
        <v>1641.8125929830376</v>
      </c>
      <c r="P55" s="46">
        <f t="shared" si="49"/>
        <v>1668.624213836478</v>
      </c>
      <c r="Q55" s="46">
        <f t="shared" si="49"/>
        <v>1669.9332665999334</v>
      </c>
      <c r="R55" s="5">
        <f>R52*1000/AVERAGE(R5,Q5)/3</f>
        <v>1134.3638856246896</v>
      </c>
      <c r="S55" s="5">
        <f t="shared" si="44"/>
        <v>1153.9760008657945</v>
      </c>
      <c r="T55" s="5">
        <f t="shared" si="44"/>
        <v>1139.9289486579896</v>
      </c>
      <c r="U55" s="5">
        <f t="shared" si="44"/>
        <v>1124.1113832829944</v>
      </c>
      <c r="V55" s="5">
        <f t="shared" si="44"/>
        <v>1105.7105433519207</v>
      </c>
      <c r="W55" s="5">
        <f t="shared" si="44"/>
        <v>1100.3657145253503</v>
      </c>
      <c r="X55" s="5">
        <f t="shared" si="44"/>
        <v>1078.2665685986569</v>
      </c>
      <c r="Y55" s="5">
        <f t="shared" ref="Y55:AC55" si="50">Y52*1000/AVERAGE(Y5,X5)/3</f>
        <v>1040.1096267485871</v>
      </c>
      <c r="Z55" s="5">
        <f t="shared" si="50"/>
        <v>1009.8609386079794</v>
      </c>
      <c r="AA55" s="5">
        <f t="shared" si="50"/>
        <v>964.31592779060929</v>
      </c>
      <c r="AB55" s="5">
        <f t="shared" si="50"/>
        <v>919.28594870036625</v>
      </c>
      <c r="AC55" s="5">
        <f t="shared" si="50"/>
        <v>905.51405049639527</v>
      </c>
      <c r="AD55" s="57">
        <f t="shared" si="46"/>
        <v>859.59470565854042</v>
      </c>
      <c r="AE55" s="57">
        <f t="shared" si="46"/>
        <v>828.39139903746411</v>
      </c>
      <c r="AF55" s="54">
        <f t="shared" si="46"/>
        <v>803.38653056842804</v>
      </c>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
    </row>
    <row r="56" spans="1:58">
      <c r="H56" s="18"/>
      <c r="I56" s="18"/>
      <c r="J56" s="18"/>
      <c r="K56" s="18"/>
      <c r="L56" s="18"/>
      <c r="M56" s="18"/>
      <c r="N56" s="18"/>
      <c r="O56" s="18"/>
      <c r="P56" s="18"/>
      <c r="Q56" s="18"/>
      <c r="R56" s="18"/>
      <c r="S56" s="18"/>
      <c r="T56" s="18"/>
      <c r="U56" s="18"/>
      <c r="V56" s="18"/>
      <c r="W56" s="18"/>
      <c r="X56" s="18"/>
      <c r="Y56" s="18"/>
      <c r="Z56" s="18"/>
      <c r="AA56" s="18"/>
      <c r="AB56" s="18"/>
      <c r="AC56" s="18"/>
      <c r="AD56" s="59"/>
      <c r="AE56" s="59"/>
      <c r="AF56" s="66"/>
      <c r="AG56" s="66"/>
      <c r="AH56" s="66"/>
      <c r="AI56" s="66"/>
      <c r="AJ56" s="66"/>
      <c r="AK56" s="66"/>
      <c r="AL56" s="66"/>
      <c r="AM56" s="66"/>
      <c r="AN56" s="66"/>
      <c r="AO56" s="66"/>
      <c r="AP56" s="66"/>
      <c r="AQ56" s="66"/>
      <c r="AR56" s="66"/>
      <c r="AS56" s="66"/>
      <c r="AT56" s="66"/>
      <c r="AU56" s="66"/>
      <c r="AV56" s="66"/>
      <c r="AW56" s="66"/>
      <c r="AX56" s="66"/>
      <c r="AY56" s="66"/>
      <c r="AZ56" s="66"/>
      <c r="BA56" s="66"/>
      <c r="BB56" s="66"/>
      <c r="BC56" s="66"/>
      <c r="BD56" s="18"/>
    </row>
    <row r="57" spans="1:58">
      <c r="A57" s="2" t="s">
        <v>155</v>
      </c>
      <c r="B57" s="4"/>
      <c r="C57" s="4"/>
      <c r="D57" s="4"/>
      <c r="E57" s="4"/>
      <c r="F57" s="4"/>
      <c r="G57" s="4"/>
      <c r="H57" s="4"/>
      <c r="I57" s="4"/>
      <c r="J57" s="4"/>
      <c r="K57" s="4"/>
      <c r="L57" s="4">
        <f t="shared" ref="L57:AC58" si="51">L51/H51-1</f>
        <v>-0.10012516797284066</v>
      </c>
      <c r="M57" s="4">
        <f t="shared" si="51"/>
        <v>-9.3952811558050131E-2</v>
      </c>
      <c r="N57" s="4">
        <f t="shared" si="51"/>
        <v>-1.5693180432597154E-2</v>
      </c>
      <c r="O57" s="4">
        <f t="shared" si="51"/>
        <v>-1.8406445325567899E-2</v>
      </c>
      <c r="P57" s="4">
        <f t="shared" si="51"/>
        <v>-4.2434426338570641E-2</v>
      </c>
      <c r="Q57" s="4">
        <f t="shared" si="51"/>
        <v>-3.5911872630131514E-2</v>
      </c>
      <c r="R57" s="47">
        <f t="shared" si="51"/>
        <v>-0.76162173502516484</v>
      </c>
      <c r="S57" s="47">
        <f t="shared" si="51"/>
        <v>-0.76071598967874676</v>
      </c>
      <c r="T57" s="47">
        <f t="shared" si="51"/>
        <v>-0.76639576553896882</v>
      </c>
      <c r="U57" s="47">
        <f t="shared" si="51"/>
        <v>-0.76398459611588621</v>
      </c>
      <c r="V57" s="4">
        <f t="shared" si="51"/>
        <v>-0.18133641804784517</v>
      </c>
      <c r="W57" s="4">
        <f t="shared" si="51"/>
        <v>5.7653855248687158E-3</v>
      </c>
      <c r="X57" s="4">
        <f t="shared" si="51"/>
        <v>-3.0444389099308244E-2</v>
      </c>
      <c r="Y57" s="4">
        <f t="shared" si="51"/>
        <v>-0.1948365014451906</v>
      </c>
      <c r="Z57" s="4">
        <f t="shared" si="51"/>
        <v>-5.1606226241432074E-2</v>
      </c>
      <c r="AA57" s="4">
        <f t="shared" si="51"/>
        <v>-0.35162776599505763</v>
      </c>
      <c r="AB57" s="4">
        <f t="shared" si="51"/>
        <v>-0.2886630869381559</v>
      </c>
      <c r="AC57" s="4">
        <f t="shared" si="51"/>
        <v>-0.27702907947397815</v>
      </c>
      <c r="AD57" s="58">
        <f t="shared" ref="AD57:AG58" si="52">AD51/Z51-1</f>
        <v>-0.37595474351566038</v>
      </c>
      <c r="AE57" s="58">
        <f t="shared" si="52"/>
        <v>-0.32542698995415598</v>
      </c>
      <c r="AF57" s="55">
        <f t="shared" si="52"/>
        <v>-0.34712624747047183</v>
      </c>
      <c r="AG57" s="55">
        <f t="shared" si="52"/>
        <v>-0.25918261624867089</v>
      </c>
      <c r="AH57" s="55">
        <f t="shared" ref="AH57:AM58" si="53">AH51/AD51-1</f>
        <v>-0.1532809998882847</v>
      </c>
      <c r="AI57" s="55">
        <f t="shared" si="53"/>
        <v>-0.12981762224457183</v>
      </c>
      <c r="AJ57" s="55">
        <f t="shared" si="53"/>
        <v>-0.10481043853392158</v>
      </c>
      <c r="AK57" s="55">
        <f t="shared" si="53"/>
        <v>-8.4756915015513523E-2</v>
      </c>
      <c r="AL57" s="55">
        <f t="shared" si="53"/>
        <v>-0.10595381700097828</v>
      </c>
      <c r="AM57" s="55">
        <f t="shared" si="53"/>
        <v>-5.8187960709108255E-2</v>
      </c>
      <c r="AN57" s="55">
        <f t="shared" ref="AN57:AO58" si="54">AN51/AJ51-1</f>
        <v>-0.10584038451935973</v>
      </c>
      <c r="AO57" s="55">
        <f t="shared" si="54"/>
        <v>-8.6857674679071128E-2</v>
      </c>
      <c r="AP57" s="55">
        <f t="shared" ref="AP57:AS58" si="55">AP51/AL51-1</f>
        <v>-2.2620684846907491E-2</v>
      </c>
      <c r="AQ57" s="55">
        <f t="shared" si="55"/>
        <v>4.4704229211445679E-2</v>
      </c>
      <c r="AR57" s="55">
        <f t="shared" si="55"/>
        <v>0.20215793693236406</v>
      </c>
      <c r="AS57" s="55">
        <f t="shared" si="55"/>
        <v>0.24023051395974204</v>
      </c>
      <c r="AT57" s="55">
        <f t="shared" ref="AT57:BC58" si="56">AT51/AP51-1</f>
        <v>0.19804376093068465</v>
      </c>
      <c r="AU57" s="55">
        <f t="shared" si="56"/>
        <v>0.16454906397820324</v>
      </c>
      <c r="AV57" s="55">
        <f t="shared" si="56"/>
        <v>7.9513401538584549E-2</v>
      </c>
      <c r="AW57" s="55">
        <f t="shared" si="56"/>
        <v>3.1639424341806999E-2</v>
      </c>
      <c r="AX57" s="55">
        <f t="shared" si="56"/>
        <v>2.3830344470944675E-2</v>
      </c>
      <c r="AY57" s="55">
        <f t="shared" si="56"/>
        <v>-4.2771550590461338E-3</v>
      </c>
      <c r="AZ57" s="55">
        <f t="shared" si="56"/>
        <v>-1.9210067953712939E-2</v>
      </c>
      <c r="BA57" s="55">
        <f t="shared" si="56"/>
        <v>-5.6071216575475091E-2</v>
      </c>
      <c r="BB57" s="55">
        <f t="shared" si="56"/>
        <v>-8.8513334265865495E-2</v>
      </c>
      <c r="BC57" s="55">
        <f t="shared" si="56"/>
        <v>-0.10673776601916363</v>
      </c>
      <c r="BD57" s="4"/>
    </row>
    <row r="58" spans="1:58">
      <c r="A58" s="2" t="s">
        <v>138</v>
      </c>
      <c r="B58" s="4"/>
      <c r="C58" s="4"/>
      <c r="D58" s="4"/>
      <c r="E58" s="4"/>
      <c r="F58" s="4"/>
      <c r="G58" s="4"/>
      <c r="H58" s="4"/>
      <c r="I58" s="4"/>
      <c r="J58" s="4"/>
      <c r="K58" s="4"/>
      <c r="L58" s="4">
        <f t="shared" si="51"/>
        <v>0.14126649711010986</v>
      </c>
      <c r="M58" s="4">
        <f t="shared" si="51"/>
        <v>0.19422740028914021</v>
      </c>
      <c r="N58" s="4">
        <f t="shared" si="51"/>
        <v>0.23419665829464753</v>
      </c>
      <c r="O58" s="4">
        <f t="shared" si="51"/>
        <v>0.25604472956809876</v>
      </c>
      <c r="P58" s="4">
        <f t="shared" si="51"/>
        <v>0.24624551827617291</v>
      </c>
      <c r="Q58" s="4">
        <f t="shared" si="51"/>
        <v>0.18797467573220761</v>
      </c>
      <c r="R58" s="47">
        <f t="shared" si="51"/>
        <v>-0.25387903088176944</v>
      </c>
      <c r="S58" s="47">
        <f t="shared" si="51"/>
        <v>-0.28040866647199159</v>
      </c>
      <c r="T58" s="47">
        <f t="shared" si="51"/>
        <v>-0.26385897299331074</v>
      </c>
      <c r="U58" s="47">
        <f t="shared" si="51"/>
        <v>-0.24143500694867626</v>
      </c>
      <c r="V58" s="4">
        <f t="shared" si="51"/>
        <v>0.16389075258704144</v>
      </c>
      <c r="W58" s="4">
        <f t="shared" si="51"/>
        <v>0.17432392796595697</v>
      </c>
      <c r="X58" s="4">
        <f t="shared" si="51"/>
        <v>0.12970025996150292</v>
      </c>
      <c r="Y58" s="4">
        <f t="shared" si="51"/>
        <v>6.526566297361347E-2</v>
      </c>
      <c r="Z58" s="4">
        <f t="shared" si="51"/>
        <v>1.6866179816278581E-2</v>
      </c>
      <c r="AA58" s="4">
        <f t="shared" si="51"/>
        <v>-5.9582819698959955E-2</v>
      </c>
      <c r="AB58" s="4">
        <f t="shared" si="51"/>
        <v>-0.10165682738640525</v>
      </c>
      <c r="AC58" s="4">
        <f t="shared" si="51"/>
        <v>-8.9736183327028818E-2</v>
      </c>
      <c r="AD58" s="58">
        <f t="shared" si="52"/>
        <v>-0.11456868265846698</v>
      </c>
      <c r="AE58" s="58">
        <f t="shared" si="52"/>
        <v>-9.7435343828371934E-2</v>
      </c>
      <c r="AF58" s="55">
        <f t="shared" si="52"/>
        <v>-7.9394590321387848E-2</v>
      </c>
      <c r="AG58" s="55">
        <f t="shared" si="52"/>
        <v>-6.7238920860530071E-2</v>
      </c>
      <c r="AH58" s="55">
        <f t="shared" si="53"/>
        <v>5.5948339338827147E-3</v>
      </c>
      <c r="AI58" s="55">
        <f t="shared" si="53"/>
        <v>-1.515834663868354E-2</v>
      </c>
      <c r="AJ58" s="55">
        <f t="shared" si="53"/>
        <v>1.6594974677910601E-2</v>
      </c>
      <c r="AK58" s="55">
        <f t="shared" si="53"/>
        <v>4.3127090512066424E-2</v>
      </c>
      <c r="AL58" s="55">
        <f t="shared" si="53"/>
        <v>2.2888198898248779E-2</v>
      </c>
      <c r="AM58" s="55">
        <f t="shared" si="53"/>
        <v>8.1955229956621745E-2</v>
      </c>
      <c r="AN58" s="55">
        <f t="shared" si="54"/>
        <v>3.1709472396178606E-2</v>
      </c>
      <c r="AO58" s="55">
        <f t="shared" si="54"/>
        <v>5.8549735617201559E-2</v>
      </c>
      <c r="AP58" s="55">
        <f t="shared" si="55"/>
        <v>0.13871214657433439</v>
      </c>
      <c r="AQ58" s="55">
        <f t="shared" si="55"/>
        <v>0.22373229017792684</v>
      </c>
      <c r="AR58" s="55">
        <f t="shared" si="55"/>
        <v>0.41638187073100497</v>
      </c>
      <c r="AS58" s="55">
        <f t="shared" si="55"/>
        <v>0.47045900971280741</v>
      </c>
      <c r="AT58" s="55">
        <f t="shared" si="56"/>
        <v>0.43016783724793961</v>
      </c>
      <c r="AU58" s="55">
        <f t="shared" si="56"/>
        <v>0.40055106784421945</v>
      </c>
      <c r="AV58" s="55">
        <f t="shared" si="56"/>
        <v>0.30886748700384592</v>
      </c>
      <c r="AW58" s="55">
        <f t="shared" si="56"/>
        <v>0.26201783848232285</v>
      </c>
      <c r="AX58" s="55">
        <f t="shared" si="56"/>
        <v>0.26482869342835236</v>
      </c>
      <c r="AY58" s="55">
        <f t="shared" si="56"/>
        <v>0.24356587337510693</v>
      </c>
      <c r="AZ58" s="55">
        <f t="shared" si="56"/>
        <v>0.23985921716066128</v>
      </c>
      <c r="BA58" s="55">
        <f t="shared" si="56"/>
        <v>0.20959315799459954</v>
      </c>
      <c r="BB58" s="55">
        <f t="shared" si="56"/>
        <v>0.18608426103932474</v>
      </c>
      <c r="BC58" s="55">
        <f t="shared" si="56"/>
        <v>0.18284799250065231</v>
      </c>
      <c r="BD58" s="4"/>
    </row>
    <row r="59" spans="1:58">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58"/>
      <c r="AE59" s="58"/>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4"/>
    </row>
    <row r="60" spans="1:58">
      <c r="A60" s="2" t="s">
        <v>156</v>
      </c>
      <c r="B60" s="4"/>
      <c r="C60" s="4"/>
      <c r="D60" s="4"/>
      <c r="E60" s="4"/>
      <c r="F60" s="4"/>
      <c r="G60" s="4"/>
      <c r="H60" s="4"/>
      <c r="I60" s="4"/>
      <c r="J60" s="4"/>
      <c r="K60" s="4"/>
      <c r="L60" s="4">
        <f t="shared" ref="L60:AC61" si="57">L54/H54-1</f>
        <v>-0.11890320256024944</v>
      </c>
      <c r="M60" s="4">
        <f t="shared" si="57"/>
        <v>-0.11413184620700489</v>
      </c>
      <c r="N60" s="4">
        <f t="shared" si="57"/>
        <v>-3.53537569589506E-2</v>
      </c>
      <c r="O60" s="4">
        <f t="shared" si="57"/>
        <v>-3.2278789295615007E-2</v>
      </c>
      <c r="P60" s="4">
        <f t="shared" si="57"/>
        <v>-5.1975377405725443E-2</v>
      </c>
      <c r="Q60" s="4">
        <f t="shared" si="57"/>
        <v>-4.8403329521496841E-2</v>
      </c>
      <c r="R60" s="47">
        <f t="shared" si="57"/>
        <v>-0.53179737850071929</v>
      </c>
      <c r="S60" s="47">
        <f t="shared" si="57"/>
        <v>-0.54011701797394562</v>
      </c>
      <c r="T60" s="47">
        <f t="shared" si="57"/>
        <v>-0.56901219134589454</v>
      </c>
      <c r="U60" s="47">
        <f t="shared" si="57"/>
        <v>-0.58026463648876714</v>
      </c>
      <c r="V60" s="4">
        <f t="shared" si="57"/>
        <v>-0.29574118071947053</v>
      </c>
      <c r="W60" s="4">
        <f t="shared" si="57"/>
        <v>-0.14264947546194651</v>
      </c>
      <c r="X60" s="4">
        <f t="shared" si="57"/>
        <v>-0.15128823800424418</v>
      </c>
      <c r="Y60" s="4">
        <f t="shared" si="57"/>
        <v>-0.27259083817267216</v>
      </c>
      <c r="Z60" s="4">
        <f t="shared" si="57"/>
        <v>-0.11769719960706071</v>
      </c>
      <c r="AA60" s="4">
        <f t="shared" si="57"/>
        <v>-0.38074482174205015</v>
      </c>
      <c r="AB60" s="4">
        <f t="shared" si="57"/>
        <v>-0.3112579498870236</v>
      </c>
      <c r="AC60" s="4">
        <f t="shared" si="57"/>
        <v>-0.2944798007160232</v>
      </c>
      <c r="AD60" s="58">
        <f t="shared" ref="AD60:AG61" si="58">AD54/Z54-1</f>
        <v>-0.38949838922165014</v>
      </c>
      <c r="AE60" s="58">
        <f t="shared" si="58"/>
        <v>-0.34159423975812286</v>
      </c>
      <c r="AF60" s="55">
        <f t="shared" si="58"/>
        <v>-0.3668538966093684</v>
      </c>
      <c r="AG60" s="55">
        <f t="shared" si="58"/>
        <v>-0.28849177023759176</v>
      </c>
      <c r="AH60" s="55">
        <f t="shared" ref="AH60:AM60" si="59">AH54/AD54-1</f>
        <v>-0.199379355445649</v>
      </c>
      <c r="AI60" s="55">
        <f t="shared" si="59"/>
        <v>-0.18371221173528296</v>
      </c>
      <c r="AJ60" s="55">
        <f t="shared" si="59"/>
        <v>-0.15121626454173842</v>
      </c>
      <c r="AK60" s="55">
        <f t="shared" si="59"/>
        <v>-0.13286786422321306</v>
      </c>
      <c r="AL60" s="55">
        <f t="shared" si="59"/>
        <v>-0.15209932223082689</v>
      </c>
      <c r="AM60" s="55">
        <f t="shared" si="59"/>
        <v>-0.12093652062993898</v>
      </c>
      <c r="AN60" s="55">
        <f t="shared" ref="AN60:AS60" si="60">AN54/AJ54-1</f>
        <v>-0.21728574741146078</v>
      </c>
      <c r="AO60" s="55">
        <f t="shared" si="60"/>
        <v>-0.25734739797522621</v>
      </c>
      <c r="AP60" s="55">
        <f t="shared" si="60"/>
        <v>-0.25945333800406112</v>
      </c>
      <c r="AQ60" s="55">
        <f t="shared" si="60"/>
        <v>-0.26762556407463844</v>
      </c>
      <c r="AR60" s="55">
        <f t="shared" si="60"/>
        <v>-0.190789006078528</v>
      </c>
      <c r="AS60" s="55">
        <f t="shared" si="60"/>
        <v>-0.15918665660270348</v>
      </c>
      <c r="AT60" s="55">
        <f t="shared" ref="AT60:BC60" si="61">AT54/AP54-1</f>
        <v>-0.17104190793398466</v>
      </c>
      <c r="AU60" s="55">
        <f t="shared" si="61"/>
        <v>-0.16519093993026401</v>
      </c>
      <c r="AV60" s="55">
        <f t="shared" si="61"/>
        <v>-0.20630068478792174</v>
      </c>
      <c r="AW60" s="55">
        <f t="shared" si="61"/>
        <v>-0.23714624039500043</v>
      </c>
      <c r="AX60" s="55">
        <f t="shared" si="61"/>
        <v>-0.24059850753576617</v>
      </c>
      <c r="AY60" s="55">
        <f t="shared" si="61"/>
        <v>-0.25617932645495423</v>
      </c>
      <c r="AZ60" s="55">
        <f t="shared" si="61"/>
        <v>-0.25154104566199631</v>
      </c>
      <c r="BA60" s="55">
        <f t="shared" si="61"/>
        <v>-0.26007227540024669</v>
      </c>
      <c r="BB60" s="55">
        <f t="shared" si="61"/>
        <v>-0.26884336949296428</v>
      </c>
      <c r="BC60" s="55">
        <f t="shared" si="61"/>
        <v>-0.27602655009628296</v>
      </c>
      <c r="BD60" s="4"/>
    </row>
    <row r="61" spans="1:58">
      <c r="A61" s="2" t="s">
        <v>157</v>
      </c>
      <c r="B61" s="4"/>
      <c r="C61" s="4"/>
      <c r="D61" s="4"/>
      <c r="E61" s="4"/>
      <c r="F61" s="4"/>
      <c r="G61" s="4"/>
      <c r="H61" s="4"/>
      <c r="I61" s="4"/>
      <c r="J61" s="4"/>
      <c r="K61" s="4"/>
      <c r="L61" s="4">
        <f t="shared" si="57"/>
        <v>8.9000155627271038E-2</v>
      </c>
      <c r="M61" s="4">
        <f t="shared" si="57"/>
        <v>0.13502769167352358</v>
      </c>
      <c r="N61" s="4">
        <f t="shared" si="57"/>
        <v>0.18024083095285559</v>
      </c>
      <c r="O61" s="4">
        <f t="shared" si="57"/>
        <v>0.21511765660827087</v>
      </c>
      <c r="P61" s="4">
        <f t="shared" si="57"/>
        <v>0.21532107785194499</v>
      </c>
      <c r="Q61" s="4">
        <f t="shared" si="57"/>
        <v>0.15617516622062921</v>
      </c>
      <c r="R61" s="47">
        <f t="shared" si="57"/>
        <v>-0.26469607275600515</v>
      </c>
      <c r="S61" s="47">
        <f t="shared" si="57"/>
        <v>-0.29713293356514237</v>
      </c>
      <c r="T61" s="47">
        <f t="shared" si="57"/>
        <v>-0.31684501566887813</v>
      </c>
      <c r="U61" s="47">
        <f t="shared" si="57"/>
        <v>-0.32685251215353006</v>
      </c>
      <c r="V61" s="4">
        <f t="shared" si="57"/>
        <v>-2.5259392189649676E-2</v>
      </c>
      <c r="W61" s="4">
        <f t="shared" si="57"/>
        <v>-4.6457020163523266E-2</v>
      </c>
      <c r="X61" s="4">
        <f t="shared" si="57"/>
        <v>-5.4093178466891545E-2</v>
      </c>
      <c r="Y61" s="4">
        <f t="shared" si="57"/>
        <v>-7.4727253707793762E-2</v>
      </c>
      <c r="Z61" s="4">
        <f t="shared" si="57"/>
        <v>-8.6685982439289044E-2</v>
      </c>
      <c r="AA61" s="4">
        <f t="shared" si="57"/>
        <v>-0.12364051781950236</v>
      </c>
      <c r="AB61" s="4">
        <f t="shared" si="57"/>
        <v>-0.14744092465456482</v>
      </c>
      <c r="AC61" s="4">
        <f t="shared" si="57"/>
        <v>-0.12940518267573531</v>
      </c>
      <c r="AD61" s="58">
        <f t="shared" si="58"/>
        <v>-0.14879893577879166</v>
      </c>
      <c r="AE61" s="58">
        <f t="shared" si="58"/>
        <v>-0.14095435410319146</v>
      </c>
      <c r="AF61" s="55">
        <f t="shared" si="58"/>
        <v>-0.12607548097062737</v>
      </c>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4"/>
    </row>
    <row r="62" spans="1:58">
      <c r="A62" s="9"/>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11"/>
      <c r="BE62" s="9"/>
    </row>
    <row r="63" spans="1:58" s="27" customFormat="1" ht="15.35">
      <c r="A63" s="510" t="s">
        <v>30</v>
      </c>
      <c r="B63" s="527" t="str">
        <f>B$43</f>
        <v>Q1 12</v>
      </c>
      <c r="C63" s="527" t="str">
        <f t="shared" ref="C63:BC63" si="62">C$43</f>
        <v>Q2 12</v>
      </c>
      <c r="D63" s="527" t="str">
        <f t="shared" si="62"/>
        <v>Q3 12</v>
      </c>
      <c r="E63" s="527" t="str">
        <f t="shared" si="62"/>
        <v>4Q12</v>
      </c>
      <c r="F63" s="527" t="str">
        <f t="shared" si="62"/>
        <v>1Q13</v>
      </c>
      <c r="G63" s="527" t="str">
        <f t="shared" si="62"/>
        <v>2Q13</v>
      </c>
      <c r="H63" s="527" t="str">
        <f t="shared" si="62"/>
        <v>3Q13</v>
      </c>
      <c r="I63" s="527" t="str">
        <f t="shared" si="62"/>
        <v>4Q13</v>
      </c>
      <c r="J63" s="527" t="str">
        <f t="shared" si="62"/>
        <v>1Q14</v>
      </c>
      <c r="K63" s="527" t="str">
        <f t="shared" si="62"/>
        <v>2Q14</v>
      </c>
      <c r="L63" s="527" t="str">
        <f t="shared" si="62"/>
        <v>3Q14</v>
      </c>
      <c r="M63" s="527" t="str">
        <f t="shared" si="62"/>
        <v>4Q14</v>
      </c>
      <c r="N63" s="527" t="str">
        <f t="shared" si="62"/>
        <v>1Q15</v>
      </c>
      <c r="O63" s="527" t="str">
        <f t="shared" si="62"/>
        <v>2Q15</v>
      </c>
      <c r="P63" s="527" t="str">
        <f t="shared" si="62"/>
        <v>3Q15</v>
      </c>
      <c r="Q63" s="527" t="str">
        <f t="shared" si="62"/>
        <v>4Q15</v>
      </c>
      <c r="R63" s="527" t="str">
        <f t="shared" si="62"/>
        <v>1Q16</v>
      </c>
      <c r="S63" s="527" t="str">
        <f t="shared" si="62"/>
        <v>2Q16</v>
      </c>
      <c r="T63" s="527" t="str">
        <f t="shared" si="62"/>
        <v>3Q16</v>
      </c>
      <c r="U63" s="527" t="str">
        <f t="shared" si="62"/>
        <v>4Q16</v>
      </c>
      <c r="V63" s="527" t="str">
        <f t="shared" si="62"/>
        <v>1Q17</v>
      </c>
      <c r="W63" s="527" t="str">
        <f t="shared" si="62"/>
        <v>2Q17</v>
      </c>
      <c r="X63" s="527" t="str">
        <f t="shared" si="62"/>
        <v>3Q17</v>
      </c>
      <c r="Y63" s="527" t="str">
        <f t="shared" si="62"/>
        <v>4Q17</v>
      </c>
      <c r="Z63" s="527" t="str">
        <f t="shared" si="62"/>
        <v>1Q18</v>
      </c>
      <c r="AA63" s="527" t="str">
        <f t="shared" si="62"/>
        <v>2Q18</v>
      </c>
      <c r="AB63" s="527" t="str">
        <f t="shared" si="62"/>
        <v>3Q18</v>
      </c>
      <c r="AC63" s="527" t="str">
        <f t="shared" si="62"/>
        <v>4Q18</v>
      </c>
      <c r="AD63" s="527" t="str">
        <f t="shared" si="62"/>
        <v>1Q19</v>
      </c>
      <c r="AE63" s="527" t="str">
        <f t="shared" si="62"/>
        <v>2Q19</v>
      </c>
      <c r="AF63" s="527" t="str">
        <f t="shared" si="62"/>
        <v>3Q19</v>
      </c>
      <c r="AG63" s="527" t="str">
        <f t="shared" si="62"/>
        <v>4Q19</v>
      </c>
      <c r="AH63" s="527" t="str">
        <f t="shared" si="62"/>
        <v>1Q20</v>
      </c>
      <c r="AI63" s="527" t="str">
        <f t="shared" si="62"/>
        <v>2Q20</v>
      </c>
      <c r="AJ63" s="527" t="str">
        <f t="shared" si="62"/>
        <v>3Q20</v>
      </c>
      <c r="AK63" s="527" t="str">
        <f t="shared" si="62"/>
        <v>4Q20</v>
      </c>
      <c r="AL63" s="527" t="str">
        <f t="shared" si="62"/>
        <v>1Q21</v>
      </c>
      <c r="AM63" s="527" t="str">
        <f t="shared" si="62"/>
        <v>2Q21</v>
      </c>
      <c r="AN63" s="527" t="str">
        <f t="shared" si="62"/>
        <v>3Q21</v>
      </c>
      <c r="AO63" s="527" t="str">
        <f t="shared" si="62"/>
        <v>4Q21</v>
      </c>
      <c r="AP63" s="527" t="str">
        <f t="shared" si="62"/>
        <v>1Q22</v>
      </c>
      <c r="AQ63" s="527" t="str">
        <f t="shared" si="62"/>
        <v>2Q22</v>
      </c>
      <c r="AR63" s="527" t="str">
        <f t="shared" si="62"/>
        <v>3Q22</v>
      </c>
      <c r="AS63" s="527" t="str">
        <f t="shared" si="62"/>
        <v>4Q22</v>
      </c>
      <c r="AT63" s="527" t="str">
        <f t="shared" si="62"/>
        <v>1Q23</v>
      </c>
      <c r="AU63" s="527" t="str">
        <f t="shared" si="62"/>
        <v>2Q23</v>
      </c>
      <c r="AV63" s="527" t="str">
        <f t="shared" si="62"/>
        <v>3Q23</v>
      </c>
      <c r="AW63" s="527" t="str">
        <f t="shared" si="62"/>
        <v>4Q23</v>
      </c>
      <c r="AX63" s="527" t="str">
        <f t="shared" si="62"/>
        <v>1Q24</v>
      </c>
      <c r="AY63" s="527" t="str">
        <f t="shared" si="62"/>
        <v>2Q24</v>
      </c>
      <c r="AZ63" s="527" t="str">
        <f t="shared" si="62"/>
        <v>3Q24</v>
      </c>
      <c r="BA63" s="527" t="str">
        <f t="shared" si="62"/>
        <v>4Q24</v>
      </c>
      <c r="BB63" s="527" t="str">
        <f t="shared" si="62"/>
        <v>1Q25</v>
      </c>
      <c r="BC63" s="527" t="str">
        <f t="shared" si="62"/>
        <v>2Q25</v>
      </c>
      <c r="BD63" s="527"/>
      <c r="BE63" s="510"/>
      <c r="BF63" s="176"/>
    </row>
    <row r="64" spans="1:58">
      <c r="A64" s="10"/>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58"/>
      <c r="AE64" s="58"/>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4"/>
    </row>
    <row r="65" spans="1:58">
      <c r="A65" s="2" t="s">
        <v>158</v>
      </c>
      <c r="B65" s="4"/>
      <c r="C65" s="4"/>
      <c r="D65" s="4"/>
      <c r="E65" s="4"/>
      <c r="F65" s="4">
        <f t="shared" ref="F65:AC65" si="63">F13/B13-1</f>
        <v>0.18166524708174392</v>
      </c>
      <c r="G65" s="4">
        <f t="shared" si="63"/>
        <v>0.12714843925398878</v>
      </c>
      <c r="H65" s="4">
        <f t="shared" si="63"/>
        <v>0.11664277510622156</v>
      </c>
      <c r="I65" s="4">
        <f t="shared" si="63"/>
        <v>0.12070193868988577</v>
      </c>
      <c r="J65" s="4">
        <f t="shared" si="63"/>
        <v>0.14222211178290012</v>
      </c>
      <c r="K65" s="4">
        <f t="shared" si="63"/>
        <v>0.14989738823457932</v>
      </c>
      <c r="L65" s="4">
        <f t="shared" si="63"/>
        <v>0.11575606125248816</v>
      </c>
      <c r="M65" s="4">
        <f t="shared" si="63"/>
        <v>0.11254551905130139</v>
      </c>
      <c r="N65" s="4">
        <f t="shared" si="63"/>
        <v>0.11080288882655176</v>
      </c>
      <c r="O65" s="4">
        <f t="shared" si="63"/>
        <v>0.11282973552049147</v>
      </c>
      <c r="P65" s="4">
        <f t="shared" si="63"/>
        <v>0.11384578535445744</v>
      </c>
      <c r="Q65" s="4">
        <f t="shared" si="63"/>
        <v>0.11774613739652473</v>
      </c>
      <c r="R65" s="4">
        <f t="shared" si="63"/>
        <v>0.10905188704683688</v>
      </c>
      <c r="S65" s="4">
        <f t="shared" si="63"/>
        <v>0.10864627051406717</v>
      </c>
      <c r="T65" s="4">
        <f t="shared" si="63"/>
        <v>0.13211562648230357</v>
      </c>
      <c r="U65" s="4">
        <f t="shared" si="63"/>
        <v>0.16393457144055024</v>
      </c>
      <c r="V65" s="4">
        <f t="shared" si="63"/>
        <v>0.16676544757574141</v>
      </c>
      <c r="W65" s="4">
        <f t="shared" si="63"/>
        <v>0.17291011032217463</v>
      </c>
      <c r="X65" s="4">
        <f t="shared" si="63"/>
        <v>0.13341401918182449</v>
      </c>
      <c r="Y65" s="4">
        <f t="shared" si="63"/>
        <v>9.3028384933073083E-2</v>
      </c>
      <c r="Z65" s="4">
        <f t="shared" si="63"/>
        <v>9.594895769883105E-2</v>
      </c>
      <c r="AA65" s="4">
        <f t="shared" si="63"/>
        <v>8.9978593244762539E-2</v>
      </c>
      <c r="AB65" s="4">
        <f t="shared" si="63"/>
        <v>0.10722391046796065</v>
      </c>
      <c r="AC65" s="4">
        <f t="shared" si="63"/>
        <v>0.10552112342062436</v>
      </c>
      <c r="AD65" s="58">
        <f t="shared" ref="AD65:AM65" si="64">AD13/Z13-1</f>
        <v>0.10002623647229281</v>
      </c>
      <c r="AE65" s="58">
        <f t="shared" si="64"/>
        <v>9.303807242259321E-2</v>
      </c>
      <c r="AF65" s="55">
        <f t="shared" si="64"/>
        <v>7.6346157329332254E-2</v>
      </c>
      <c r="AG65" s="55">
        <f t="shared" si="64"/>
        <v>8.6439597963817727E-2</v>
      </c>
      <c r="AH65" s="55">
        <f t="shared" si="64"/>
        <v>9.4262635663459271E-2</v>
      </c>
      <c r="AI65" s="55">
        <f t="shared" si="64"/>
        <v>9.6625978505392673E-2</v>
      </c>
      <c r="AJ65" s="55">
        <f t="shared" si="64"/>
        <v>8.7125822564224631E-2</v>
      </c>
      <c r="AK65" s="55">
        <f t="shared" si="64"/>
        <v>7.9280697891338736E-2</v>
      </c>
      <c r="AL65" s="55">
        <f t="shared" si="64"/>
        <v>5.0634034428686636E-2</v>
      </c>
      <c r="AM65" s="55">
        <f t="shared" si="64"/>
        <v>7.2802417302763267E-2</v>
      </c>
      <c r="AN65" s="55">
        <f t="shared" ref="AN65:AS65" si="65">AN13/AJ13-1</f>
        <v>9.5888763346203554E-2</v>
      </c>
      <c r="AO65" s="55">
        <f t="shared" si="65"/>
        <v>6.6427431403601522E-2</v>
      </c>
      <c r="AP65" s="55">
        <f t="shared" si="65"/>
        <v>6.8906512509144369E-2</v>
      </c>
      <c r="AQ65" s="55">
        <f t="shared" si="65"/>
        <v>3.4533926097352063E-2</v>
      </c>
      <c r="AR65" s="55">
        <f t="shared" si="65"/>
        <v>1.0847556163533278E-2</v>
      </c>
      <c r="AS65" s="55">
        <f t="shared" si="65"/>
        <v>-8.9120934395686691E-3</v>
      </c>
      <c r="AT65" s="55">
        <f t="shared" ref="AT65:BC65" si="66">AT13/AP13-1</f>
        <v>-0.12741423017536202</v>
      </c>
      <c r="AU65" s="55">
        <f t="shared" si="66"/>
        <v>-0.12322606552261439</v>
      </c>
      <c r="AV65" s="55">
        <f t="shared" si="66"/>
        <v>-0.11519236237387098</v>
      </c>
      <c r="AW65" s="55">
        <f t="shared" si="66"/>
        <v>-9.1841784361176626E-2</v>
      </c>
      <c r="AX65" s="55">
        <f t="shared" si="66"/>
        <v>1.3547383240773092E-2</v>
      </c>
      <c r="AY65" s="55">
        <f t="shared" si="66"/>
        <v>-1.3553497509358747E-3</v>
      </c>
      <c r="AZ65" s="55">
        <f t="shared" si="66"/>
        <v>9.5162631898193517E-3</v>
      </c>
      <c r="BA65" s="55">
        <f t="shared" si="66"/>
        <v>1.258411458566866E-2</v>
      </c>
      <c r="BB65" s="55">
        <f t="shared" si="66"/>
        <v>2.6542196349644609E-2</v>
      </c>
      <c r="BC65" s="55">
        <f t="shared" si="66"/>
        <v>2.8431447372614382E-3</v>
      </c>
      <c r="BD65" s="4"/>
    </row>
    <row r="66" spans="1:58">
      <c r="A66" s="2" t="s">
        <v>159</v>
      </c>
      <c r="B66" s="4"/>
      <c r="C66" s="4"/>
      <c r="D66" s="4"/>
      <c r="E66" s="4"/>
      <c r="F66" s="4">
        <f t="shared" ref="F66:AC66" si="67">F15/B15-1</f>
        <v>2.0511862559736915E-2</v>
      </c>
      <c r="G66" s="4">
        <f t="shared" si="67"/>
        <v>9.7729860163492388E-2</v>
      </c>
      <c r="H66" s="4">
        <f t="shared" si="67"/>
        <v>0.16233540242480737</v>
      </c>
      <c r="I66" s="4">
        <f t="shared" si="67"/>
        <v>0.10958701711246865</v>
      </c>
      <c r="J66" s="4">
        <f t="shared" si="67"/>
        <v>0.18491376381598923</v>
      </c>
      <c r="K66" s="4">
        <f t="shared" si="67"/>
        <v>0.12272845385055975</v>
      </c>
      <c r="L66" s="4">
        <f t="shared" si="67"/>
        <v>0.11110841568089191</v>
      </c>
      <c r="M66" s="4">
        <f t="shared" si="67"/>
        <v>0.10161141568473719</v>
      </c>
      <c r="N66" s="4">
        <f t="shared" si="67"/>
        <v>8.6882717854307012E-2</v>
      </c>
      <c r="O66" s="4">
        <f t="shared" si="67"/>
        <v>0.11084237980474354</v>
      </c>
      <c r="P66" s="4">
        <f t="shared" si="67"/>
        <v>3.774360061144133E-2</v>
      </c>
      <c r="Q66" s="4">
        <f t="shared" si="67"/>
        <v>5.135494697681886E-2</v>
      </c>
      <c r="R66" s="4">
        <f t="shared" si="67"/>
        <v>3.8235872879391897E-2</v>
      </c>
      <c r="S66" s="4">
        <f t="shared" si="67"/>
        <v>1.771865208645762E-2</v>
      </c>
      <c r="T66" s="4">
        <f t="shared" si="67"/>
        <v>6.5768808027780734E-2</v>
      </c>
      <c r="U66" s="4">
        <f t="shared" si="67"/>
        <v>7.2819731833108303E-2</v>
      </c>
      <c r="V66" s="4">
        <f t="shared" si="67"/>
        <v>4.810323184365628E-2</v>
      </c>
      <c r="W66" s="4">
        <f t="shared" si="67"/>
        <v>3.3884904136022964E-2</v>
      </c>
      <c r="X66" s="4">
        <f t="shared" si="67"/>
        <v>1.6065103118161339E-2</v>
      </c>
      <c r="Y66" s="4">
        <f t="shared" si="67"/>
        <v>-6.8304698565422317E-3</v>
      </c>
      <c r="Z66" s="4">
        <f t="shared" si="67"/>
        <v>-2.0802741661465785E-2</v>
      </c>
      <c r="AA66" s="4">
        <f t="shared" si="67"/>
        <v>4.6330685237880864E-3</v>
      </c>
      <c r="AB66" s="4">
        <f t="shared" si="67"/>
        <v>5.4965949747138865E-3</v>
      </c>
      <c r="AC66" s="4">
        <f t="shared" si="67"/>
        <v>8.5895769708477232E-4</v>
      </c>
      <c r="AD66" s="58">
        <f t="shared" ref="AD66:AM66" si="68">AD15/Z15-1</f>
        <v>2.9065546460969038E-3</v>
      </c>
      <c r="AE66" s="58">
        <f t="shared" si="68"/>
        <v>-5.1272364100539702E-3</v>
      </c>
      <c r="AF66" s="55">
        <f t="shared" si="68"/>
        <v>-9.9635173597426574E-3</v>
      </c>
      <c r="AG66" s="55">
        <f t="shared" si="68"/>
        <v>2.164306620136025E-2</v>
      </c>
      <c r="AH66" s="55">
        <f t="shared" si="68"/>
        <v>-0.31605549690180657</v>
      </c>
      <c r="AI66" s="55">
        <f t="shared" si="68"/>
        <v>-0.30113779831683807</v>
      </c>
      <c r="AJ66" s="55">
        <f t="shared" si="68"/>
        <v>-0.29719044615635981</v>
      </c>
      <c r="AK66" s="55">
        <f t="shared" si="68"/>
        <v>-0.47280480670203384</v>
      </c>
      <c r="AL66" s="55">
        <f t="shared" si="68"/>
        <v>-4.9746721831373852E-2</v>
      </c>
      <c r="AM66" s="55">
        <f t="shared" si="68"/>
        <v>-8.79650796003838E-2</v>
      </c>
      <c r="AN66" s="55">
        <f t="shared" ref="AN66:AS66" si="69">AN15/AJ15-1</f>
        <v>-8.3535869796256046E-2</v>
      </c>
      <c r="AO66" s="55">
        <f t="shared" si="69"/>
        <v>0.17265456604401774</v>
      </c>
      <c r="AP66" s="55">
        <f t="shared" si="69"/>
        <v>1.3070763400556906E-2</v>
      </c>
      <c r="AQ66" s="55">
        <f t="shared" si="69"/>
        <v>3.0435323697819427E-4</v>
      </c>
      <c r="AR66" s="55">
        <f t="shared" si="69"/>
        <v>-1.9482286011691885E-2</v>
      </c>
      <c r="AS66" s="55">
        <f t="shared" si="69"/>
        <v>-1.4593883565476973E-2</v>
      </c>
      <c r="AT66" s="55">
        <f t="shared" ref="AT66:BC66" si="70">AT15/AP15-1</f>
        <v>4.5477760394121214E-2</v>
      </c>
      <c r="AU66" s="55">
        <f t="shared" si="70"/>
        <v>4.8499056312117261E-2</v>
      </c>
      <c r="AV66" s="55">
        <f t="shared" si="70"/>
        <v>5.4862825020573824E-2</v>
      </c>
      <c r="AW66" s="55">
        <f t="shared" si="70"/>
        <v>7.6371284215542623E-2</v>
      </c>
      <c r="AX66" s="55">
        <f t="shared" si="70"/>
        <v>-2.3742360615899405E-2</v>
      </c>
      <c r="AY66" s="55">
        <f t="shared" si="70"/>
        <v>2.5783624843817687E-2</v>
      </c>
      <c r="AZ66" s="55">
        <f t="shared" si="70"/>
        <v>5.8303395980009665E-2</v>
      </c>
      <c r="BA66" s="55">
        <f t="shared" si="70"/>
        <v>4.9288252547407208E-2</v>
      </c>
      <c r="BB66" s="55">
        <f t="shared" si="70"/>
        <v>3.4499892394705078E-2</v>
      </c>
      <c r="BC66" s="55">
        <f t="shared" si="70"/>
        <v>-7.1196693612695094E-3</v>
      </c>
      <c r="BD66" s="4"/>
    </row>
    <row r="67" spans="1:58">
      <c r="A67" s="9"/>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11"/>
      <c r="BE67" s="9"/>
    </row>
    <row r="68" spans="1:58" s="27" customFormat="1" ht="15.35">
      <c r="A68" s="510" t="s">
        <v>169</v>
      </c>
      <c r="B68" s="527" t="str">
        <f>B$43</f>
        <v>Q1 12</v>
      </c>
      <c r="C68" s="527" t="str">
        <f t="shared" ref="C68:BC68" si="71">C$43</f>
        <v>Q2 12</v>
      </c>
      <c r="D68" s="527" t="str">
        <f t="shared" si="71"/>
        <v>Q3 12</v>
      </c>
      <c r="E68" s="527" t="str">
        <f t="shared" si="71"/>
        <v>4Q12</v>
      </c>
      <c r="F68" s="527" t="str">
        <f t="shared" si="71"/>
        <v>1Q13</v>
      </c>
      <c r="G68" s="527" t="str">
        <f t="shared" si="71"/>
        <v>2Q13</v>
      </c>
      <c r="H68" s="527" t="str">
        <f t="shared" si="71"/>
        <v>3Q13</v>
      </c>
      <c r="I68" s="527" t="str">
        <f t="shared" si="71"/>
        <v>4Q13</v>
      </c>
      <c r="J68" s="527" t="str">
        <f t="shared" si="71"/>
        <v>1Q14</v>
      </c>
      <c r="K68" s="527" t="str">
        <f t="shared" si="71"/>
        <v>2Q14</v>
      </c>
      <c r="L68" s="527" t="str">
        <f t="shared" si="71"/>
        <v>3Q14</v>
      </c>
      <c r="M68" s="527" t="str">
        <f t="shared" si="71"/>
        <v>4Q14</v>
      </c>
      <c r="N68" s="527" t="str">
        <f t="shared" si="71"/>
        <v>1Q15</v>
      </c>
      <c r="O68" s="527" t="str">
        <f t="shared" si="71"/>
        <v>2Q15</v>
      </c>
      <c r="P68" s="527" t="str">
        <f t="shared" si="71"/>
        <v>3Q15</v>
      </c>
      <c r="Q68" s="527" t="str">
        <f t="shared" si="71"/>
        <v>4Q15</v>
      </c>
      <c r="R68" s="527" t="str">
        <f t="shared" si="71"/>
        <v>1Q16</v>
      </c>
      <c r="S68" s="527" t="str">
        <f t="shared" si="71"/>
        <v>2Q16</v>
      </c>
      <c r="T68" s="527" t="str">
        <f t="shared" si="71"/>
        <v>3Q16</v>
      </c>
      <c r="U68" s="527" t="str">
        <f t="shared" si="71"/>
        <v>4Q16</v>
      </c>
      <c r="V68" s="527" t="str">
        <f t="shared" si="71"/>
        <v>1Q17</v>
      </c>
      <c r="W68" s="527" t="str">
        <f t="shared" si="71"/>
        <v>2Q17</v>
      </c>
      <c r="X68" s="527" t="str">
        <f t="shared" si="71"/>
        <v>3Q17</v>
      </c>
      <c r="Y68" s="527" t="str">
        <f t="shared" si="71"/>
        <v>4Q17</v>
      </c>
      <c r="Z68" s="527" t="str">
        <f t="shared" si="71"/>
        <v>1Q18</v>
      </c>
      <c r="AA68" s="527" t="str">
        <f t="shared" si="71"/>
        <v>2Q18</v>
      </c>
      <c r="AB68" s="527" t="str">
        <f t="shared" si="71"/>
        <v>3Q18</v>
      </c>
      <c r="AC68" s="527" t="str">
        <f t="shared" si="71"/>
        <v>4Q18</v>
      </c>
      <c r="AD68" s="527" t="str">
        <f t="shared" si="71"/>
        <v>1Q19</v>
      </c>
      <c r="AE68" s="527" t="str">
        <f t="shared" si="71"/>
        <v>2Q19</v>
      </c>
      <c r="AF68" s="527" t="str">
        <f t="shared" si="71"/>
        <v>3Q19</v>
      </c>
      <c r="AG68" s="527" t="str">
        <f t="shared" si="71"/>
        <v>4Q19</v>
      </c>
      <c r="AH68" s="527" t="str">
        <f t="shared" si="71"/>
        <v>1Q20</v>
      </c>
      <c r="AI68" s="527" t="str">
        <f t="shared" si="71"/>
        <v>2Q20</v>
      </c>
      <c r="AJ68" s="527" t="str">
        <f t="shared" si="71"/>
        <v>3Q20</v>
      </c>
      <c r="AK68" s="527" t="str">
        <f t="shared" si="71"/>
        <v>4Q20</v>
      </c>
      <c r="AL68" s="527" t="str">
        <f t="shared" si="71"/>
        <v>1Q21</v>
      </c>
      <c r="AM68" s="527" t="str">
        <f t="shared" si="71"/>
        <v>2Q21</v>
      </c>
      <c r="AN68" s="527" t="str">
        <f t="shared" si="71"/>
        <v>3Q21</v>
      </c>
      <c r="AO68" s="527" t="str">
        <f t="shared" si="71"/>
        <v>4Q21</v>
      </c>
      <c r="AP68" s="527" t="str">
        <f t="shared" si="71"/>
        <v>1Q22</v>
      </c>
      <c r="AQ68" s="527" t="str">
        <f t="shared" si="71"/>
        <v>2Q22</v>
      </c>
      <c r="AR68" s="527" t="str">
        <f t="shared" si="71"/>
        <v>3Q22</v>
      </c>
      <c r="AS68" s="527" t="str">
        <f t="shared" si="71"/>
        <v>4Q22</v>
      </c>
      <c r="AT68" s="527" t="str">
        <f t="shared" si="71"/>
        <v>1Q23</v>
      </c>
      <c r="AU68" s="527" t="str">
        <f t="shared" si="71"/>
        <v>2Q23</v>
      </c>
      <c r="AV68" s="527" t="str">
        <f t="shared" si="71"/>
        <v>3Q23</v>
      </c>
      <c r="AW68" s="527" t="str">
        <f t="shared" si="71"/>
        <v>4Q23</v>
      </c>
      <c r="AX68" s="527" t="str">
        <f t="shared" si="71"/>
        <v>1Q24</v>
      </c>
      <c r="AY68" s="527" t="str">
        <f t="shared" si="71"/>
        <v>2Q24</v>
      </c>
      <c r="AZ68" s="527" t="str">
        <f t="shared" si="71"/>
        <v>3Q24</v>
      </c>
      <c r="BA68" s="527" t="str">
        <f t="shared" si="71"/>
        <v>4Q24</v>
      </c>
      <c r="BB68" s="527" t="str">
        <f t="shared" si="71"/>
        <v>1Q25</v>
      </c>
      <c r="BC68" s="527" t="str">
        <f t="shared" si="71"/>
        <v>2Q25</v>
      </c>
      <c r="BD68" s="527"/>
      <c r="BE68" s="510"/>
      <c r="BF68" s="176"/>
    </row>
    <row r="69" spans="1:58">
      <c r="A69" s="10"/>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58"/>
      <c r="AE69" s="58"/>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4"/>
    </row>
    <row r="70" spans="1:58">
      <c r="A70" s="2" t="s">
        <v>161</v>
      </c>
      <c r="B70" s="4"/>
      <c r="C70" s="4"/>
      <c r="D70" s="4"/>
      <c r="E70" s="4"/>
      <c r="F70" s="4">
        <f t="shared" ref="F70:AC70" si="72">F32/B32-1</f>
        <v>9.2779654988441873E-3</v>
      </c>
      <c r="G70" s="4">
        <f t="shared" si="72"/>
        <v>2.1970388871600299E-2</v>
      </c>
      <c r="H70" s="4">
        <f t="shared" si="72"/>
        <v>3.5779375284766823E-2</v>
      </c>
      <c r="I70" s="4">
        <f t="shared" si="72"/>
        <v>3.7005387480689489E-2</v>
      </c>
      <c r="J70" s="4">
        <f t="shared" si="72"/>
        <v>3.6104897046507656E-2</v>
      </c>
      <c r="K70" s="4">
        <f t="shared" si="72"/>
        <v>2.2569784969726836E-2</v>
      </c>
      <c r="L70" s="4">
        <f t="shared" si="72"/>
        <v>1.1901416195212455E-2</v>
      </c>
      <c r="M70" s="4">
        <f t="shared" si="72"/>
        <v>1.5654885908166216E-2</v>
      </c>
      <c r="N70" s="4">
        <f t="shared" si="72"/>
        <v>1.7699007543640066E-2</v>
      </c>
      <c r="O70" s="4">
        <f t="shared" si="72"/>
        <v>2.2151898734177111E-2</v>
      </c>
      <c r="P70" s="4">
        <f t="shared" si="72"/>
        <v>2.7181722676391296E-2</v>
      </c>
      <c r="Q70" s="4">
        <f t="shared" si="72"/>
        <v>3.0275405431340552E-2</v>
      </c>
      <c r="R70" s="4">
        <f t="shared" si="72"/>
        <v>3.1261190288619956E-2</v>
      </c>
      <c r="S70" s="4">
        <f t="shared" si="72"/>
        <v>3.4174347294876783E-2</v>
      </c>
      <c r="T70" s="4">
        <f t="shared" si="72"/>
        <v>3.5161760556757349E-2</v>
      </c>
      <c r="U70" s="4">
        <f t="shared" si="72"/>
        <v>3.3949611139570735E-2</v>
      </c>
      <c r="V70" s="4">
        <f t="shared" si="72"/>
        <v>3.4206974779216859E-2</v>
      </c>
      <c r="W70" s="4">
        <f t="shared" si="72"/>
        <v>2.9897687649109939E-2</v>
      </c>
      <c r="X70" s="4">
        <f t="shared" si="72"/>
        <v>2.4989835898018287E-2</v>
      </c>
      <c r="Y70" s="4">
        <f t="shared" si="72"/>
        <v>2.0691829564904118E-2</v>
      </c>
      <c r="Z70" s="4">
        <f t="shared" si="72"/>
        <v>1.6614218893777455E-2</v>
      </c>
      <c r="AA70" s="4">
        <f t="shared" si="72"/>
        <v>1.2967949874485685E-2</v>
      </c>
      <c r="AB70" s="4">
        <f t="shared" si="72"/>
        <v>8.3265858206060805E-3</v>
      </c>
      <c r="AC70" s="4">
        <f t="shared" si="72"/>
        <v>8.8851527266629038E-3</v>
      </c>
      <c r="AD70" s="58">
        <f t="shared" ref="AD70:AG71" si="73">AD32/Z32-1</f>
        <v>-0.56274377483159377</v>
      </c>
      <c r="AE70" s="58">
        <f t="shared" si="73"/>
        <v>-0.56081578802704635</v>
      </c>
      <c r="AF70" s="55">
        <f t="shared" si="73"/>
        <v>-0.55836364235718139</v>
      </c>
      <c r="AG70" s="55">
        <f t="shared" si="73"/>
        <v>-0.5583645886868378</v>
      </c>
      <c r="AH70" s="55">
        <f t="shared" ref="AH70:AM71" si="74">AH32/AD32-1</f>
        <v>2.3087187492132122E-2</v>
      </c>
      <c r="AI70" s="55">
        <f t="shared" si="74"/>
        <v>2.7637310368998191E-2</v>
      </c>
      <c r="AJ70" s="55">
        <f t="shared" si="74"/>
        <v>3.1822253184713434E-2</v>
      </c>
      <c r="AK70" s="55">
        <f t="shared" si="74"/>
        <v>4.1225116371199411E-2</v>
      </c>
      <c r="AL70" s="55">
        <f t="shared" si="74"/>
        <v>4.1908652426419835E-2</v>
      </c>
      <c r="AM70" s="55">
        <f t="shared" si="74"/>
        <v>5.0182704019488433E-2</v>
      </c>
      <c r="AN70" s="70"/>
      <c r="AO70" s="70"/>
      <c r="AP70" s="70"/>
      <c r="AQ70" s="70"/>
      <c r="AR70" s="70"/>
      <c r="AS70" s="70"/>
      <c r="AT70" s="70"/>
      <c r="AU70" s="70"/>
      <c r="AV70" s="70"/>
      <c r="AW70" s="70"/>
      <c r="AX70" s="70"/>
      <c r="AY70" s="70"/>
      <c r="AZ70" s="70"/>
      <c r="BA70" s="70"/>
      <c r="BB70" s="70"/>
      <c r="BC70" s="70"/>
      <c r="BD70" s="4"/>
    </row>
    <row r="71" spans="1:58">
      <c r="A71" s="2" t="s">
        <v>162</v>
      </c>
      <c r="B71" s="4"/>
      <c r="C71" s="4"/>
      <c r="D71" s="4"/>
      <c r="E71" s="4"/>
      <c r="F71" s="4"/>
      <c r="G71" s="4"/>
      <c r="H71" s="4"/>
      <c r="I71" s="4"/>
      <c r="J71" s="4">
        <f t="shared" ref="J71:AC71" si="75">J33/F33-1</f>
        <v>4.3440322475431614E-2</v>
      </c>
      <c r="K71" s="4">
        <f t="shared" si="75"/>
        <v>3.6950517169841879E-2</v>
      </c>
      <c r="L71" s="4">
        <f t="shared" si="75"/>
        <v>4.4994382610373362E-2</v>
      </c>
      <c r="M71" s="4">
        <f t="shared" si="75"/>
        <v>6.7648943263424854E-2</v>
      </c>
      <c r="N71" s="4">
        <f t="shared" si="75"/>
        <v>7.7717375898012975E-2</v>
      </c>
      <c r="O71" s="4">
        <f t="shared" si="75"/>
        <v>8.9210136900203851E-2</v>
      </c>
      <c r="P71" s="4">
        <f t="shared" si="75"/>
        <v>9.412622375439339E-2</v>
      </c>
      <c r="Q71" s="4">
        <f t="shared" si="75"/>
        <v>9.0265090193918818E-2</v>
      </c>
      <c r="R71" s="4">
        <f t="shared" si="75"/>
        <v>8.7453948460791908E-2</v>
      </c>
      <c r="S71" s="4">
        <f t="shared" si="75"/>
        <v>8.2432921111345703E-2</v>
      </c>
      <c r="T71" s="4">
        <f t="shared" si="75"/>
        <v>7.369552668729229E-2</v>
      </c>
      <c r="U71" s="4">
        <f t="shared" si="75"/>
        <v>6.9887258230447502E-2</v>
      </c>
      <c r="V71" s="4">
        <f t="shared" si="75"/>
        <v>6.0394935188904597E-2</v>
      </c>
      <c r="W71" s="4">
        <f t="shared" si="75"/>
        <v>5.3854046141193379E-2</v>
      </c>
      <c r="X71" s="4">
        <f t="shared" si="75"/>
        <v>6.7805464470396482E-2</v>
      </c>
      <c r="Y71" s="4">
        <f t="shared" si="75"/>
        <v>7.9841968488450155E-2</v>
      </c>
      <c r="Z71" s="4">
        <f t="shared" si="75"/>
        <v>0.11201496365145514</v>
      </c>
      <c r="AA71" s="4">
        <f t="shared" si="75"/>
        <v>0.10711267882655551</v>
      </c>
      <c r="AB71" s="4">
        <f t="shared" si="75"/>
        <v>4.1682830424540018E-2</v>
      </c>
      <c r="AC71" s="4">
        <f t="shared" si="75"/>
        <v>-2.3790628264679037E-2</v>
      </c>
      <c r="AD71" s="58">
        <f t="shared" si="73"/>
        <v>-0.60598648889836382</v>
      </c>
      <c r="AE71" s="58">
        <f t="shared" si="73"/>
        <v>-0.64434680673185274</v>
      </c>
      <c r="AF71" s="55">
        <f t="shared" si="73"/>
        <v>-0.63605744908092721</v>
      </c>
      <c r="AG71" s="55">
        <f t="shared" si="73"/>
        <v>-0.62868441020253307</v>
      </c>
      <c r="AH71" s="55">
        <f t="shared" si="74"/>
        <v>-0.11544048435266641</v>
      </c>
      <c r="AI71" s="55">
        <f t="shared" si="74"/>
        <v>-2.6815713829447474E-2</v>
      </c>
      <c r="AJ71" s="55">
        <f t="shared" si="74"/>
        <v>-1.7646377408518155E-2</v>
      </c>
      <c r="AK71" s="55">
        <f t="shared" si="74"/>
        <v>-8.2000497766600011E-3</v>
      </c>
      <c r="AL71" s="55">
        <f t="shared" si="74"/>
        <v>-8.9859299255113934E-3</v>
      </c>
      <c r="AM71" s="55">
        <f t="shared" si="74"/>
        <v>5.1065952530979786E-3</v>
      </c>
      <c r="AN71" s="70"/>
      <c r="AO71" s="70"/>
      <c r="AP71" s="70"/>
      <c r="AQ71" s="70"/>
      <c r="AR71" s="70"/>
      <c r="AS71" s="70"/>
      <c r="AT71" s="70"/>
      <c r="AU71" s="70"/>
      <c r="AV71" s="70"/>
      <c r="AW71" s="70"/>
      <c r="AX71" s="70"/>
      <c r="AY71" s="70"/>
      <c r="AZ71" s="70"/>
      <c r="BA71" s="70"/>
      <c r="BB71" s="70"/>
      <c r="BC71" s="70"/>
      <c r="BD71" s="4"/>
    </row>
    <row r="72" spans="1:58">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58"/>
      <c r="AE72" s="58"/>
      <c r="AF72" s="55"/>
      <c r="AG72" s="55"/>
      <c r="AH72" s="55"/>
      <c r="AI72" s="55"/>
      <c r="AJ72" s="55"/>
      <c r="AK72" s="55"/>
      <c r="AL72" s="55"/>
      <c r="AM72" s="55"/>
      <c r="AN72" s="55"/>
      <c r="AO72" s="55"/>
      <c r="AP72" s="55"/>
      <c r="AQ72" s="55"/>
      <c r="AR72" s="55"/>
      <c r="AS72" s="55"/>
      <c r="AT72" s="55"/>
      <c r="AU72" s="55"/>
      <c r="AV72" s="55"/>
      <c r="AW72" s="55"/>
      <c r="AX72" s="55"/>
      <c r="AY72" s="55"/>
      <c r="AZ72" s="55"/>
      <c r="BA72" s="55"/>
      <c r="BB72" s="55"/>
      <c r="BC72" s="55"/>
      <c r="BD72" s="4"/>
    </row>
    <row r="73" spans="1:58">
      <c r="A73" s="2" t="s">
        <v>164</v>
      </c>
      <c r="B73" s="4"/>
      <c r="C73" s="4"/>
      <c r="D73" s="4"/>
      <c r="E73" s="4"/>
      <c r="F73" s="4"/>
      <c r="G73" s="48">
        <f t="shared" ref="G73:X73" si="76">G36-C36</f>
        <v>1.9130166007030878</v>
      </c>
      <c r="H73" s="48">
        <f t="shared" si="76"/>
        <v>1.9102867825853198</v>
      </c>
      <c r="I73" s="48">
        <f t="shared" si="76"/>
        <v>1.4041000879122745E-2</v>
      </c>
      <c r="J73" s="48">
        <f t="shared" si="76"/>
        <v>1.3496088548087926E-2</v>
      </c>
      <c r="K73" s="48">
        <f t="shared" si="76"/>
        <v>2.6903376017412661E-2</v>
      </c>
      <c r="L73" s="48">
        <f t="shared" si="76"/>
        <v>6.2473532824096623E-2</v>
      </c>
      <c r="M73" s="48">
        <f t="shared" si="76"/>
        <v>9.7671355634662893E-2</v>
      </c>
      <c r="N73" s="48">
        <f t="shared" si="76"/>
        <v>0.11321789125522197</v>
      </c>
      <c r="O73" s="48">
        <f t="shared" si="76"/>
        <v>0.12726837956575277</v>
      </c>
      <c r="P73" s="48">
        <f t="shared" si="76"/>
        <v>0.12857068242750636</v>
      </c>
      <c r="Q73" s="48">
        <f t="shared" si="76"/>
        <v>0.11677912811536828</v>
      </c>
      <c r="R73" s="48">
        <f t="shared" si="76"/>
        <v>0.11077644848310308</v>
      </c>
      <c r="S73" s="48">
        <f t="shared" si="76"/>
        <v>9.6463001761094791E-2</v>
      </c>
      <c r="T73" s="48">
        <f t="shared" si="76"/>
        <v>7.8221781675881452E-2</v>
      </c>
      <c r="U73" s="48">
        <f t="shared" si="76"/>
        <v>7.3768511509120227E-2</v>
      </c>
      <c r="V73" s="48">
        <f t="shared" si="76"/>
        <v>5.4284041733106747E-2</v>
      </c>
      <c r="W73" s="48">
        <f t="shared" si="76"/>
        <v>5.0328501759803412E-2</v>
      </c>
      <c r="X73" s="48">
        <f t="shared" si="76"/>
        <v>9.1043753794647131E-2</v>
      </c>
      <c r="Y73" s="48">
        <f t="shared" ref="Y73:AC73" si="77">Y36-U36</f>
        <v>0.10098447402414479</v>
      </c>
      <c r="Z73" s="48">
        <f t="shared" si="77"/>
        <v>0.16584672640591114</v>
      </c>
      <c r="AA73" s="48">
        <f t="shared" si="77"/>
        <v>0.19602014019284875</v>
      </c>
      <c r="AB73" s="48">
        <f t="shared" si="77"/>
        <v>0.10940346669254852</v>
      </c>
      <c r="AC73" s="48">
        <f t="shared" si="77"/>
        <v>2.8786914564427057E-3</v>
      </c>
      <c r="AD73" s="60">
        <f t="shared" ref="AD73:AL73" si="78">AD36-Z36</f>
        <v>-0.1438996490029365</v>
      </c>
      <c r="AE73" s="60">
        <f t="shared" si="78"/>
        <v>-0.34726228582187924</v>
      </c>
      <c r="AF73" s="71">
        <f t="shared" si="78"/>
        <v>-0.42999999999999994</v>
      </c>
      <c r="AG73" s="71">
        <f t="shared" si="78"/>
        <v>-0.3899999999999999</v>
      </c>
      <c r="AH73" s="71">
        <f t="shared" si="78"/>
        <v>-0.33833530805687229</v>
      </c>
      <c r="AI73" s="71">
        <f t="shared" si="78"/>
        <v>-0.20273771417812081</v>
      </c>
      <c r="AJ73" s="71">
        <f t="shared" si="78"/>
        <v>-0.10200979144702549</v>
      </c>
      <c r="AK73" s="71">
        <f t="shared" si="78"/>
        <v>-8.9720798812317426E-2</v>
      </c>
      <c r="AL73" s="71">
        <f t="shared" si="78"/>
        <v>-9.1664691943127874E-2</v>
      </c>
      <c r="AM73" s="320"/>
      <c r="AN73" s="320"/>
      <c r="AO73" s="320"/>
      <c r="AP73" s="320"/>
      <c r="AQ73" s="320"/>
      <c r="AR73" s="320"/>
      <c r="AS73" s="320"/>
      <c r="AT73" s="320"/>
      <c r="AU73" s="320"/>
      <c r="AV73" s="320"/>
      <c r="AW73" s="320"/>
      <c r="AX73" s="320"/>
      <c r="AY73" s="320"/>
      <c r="AZ73" s="320"/>
      <c r="BA73" s="320"/>
      <c r="BB73" s="320"/>
      <c r="BC73" s="320"/>
      <c r="BD73" s="48"/>
    </row>
    <row r="74" spans="1:58">
      <c r="A74" s="2" t="s">
        <v>165</v>
      </c>
      <c r="B74" s="4"/>
      <c r="C74" s="4"/>
      <c r="D74" s="4"/>
      <c r="E74" s="4"/>
      <c r="F74" s="4"/>
      <c r="G74" s="48">
        <f t="shared" ref="G74:X74" si="79">G36-F36</f>
        <v>6.7381481255819331E-3</v>
      </c>
      <c r="H74" s="48">
        <f t="shared" si="79"/>
        <v>-2.729818117767957E-3</v>
      </c>
      <c r="I74" s="48">
        <f t="shared" si="79"/>
        <v>-2.3689433250588809E-3</v>
      </c>
      <c r="J74" s="48">
        <f t="shared" si="79"/>
        <v>1.185670186533283E-2</v>
      </c>
      <c r="K74" s="48">
        <f t="shared" si="79"/>
        <v>2.0145435594906669E-2</v>
      </c>
      <c r="L74" s="48">
        <f t="shared" si="79"/>
        <v>3.2840338688916004E-2</v>
      </c>
      <c r="M74" s="48">
        <f t="shared" si="79"/>
        <v>3.282887948550739E-2</v>
      </c>
      <c r="N74" s="48">
        <f t="shared" si="79"/>
        <v>2.7403237485891907E-2</v>
      </c>
      <c r="O74" s="48">
        <f t="shared" si="79"/>
        <v>3.4195923905437464E-2</v>
      </c>
      <c r="P74" s="48">
        <f t="shared" si="79"/>
        <v>3.4142641550669595E-2</v>
      </c>
      <c r="Q74" s="48">
        <f t="shared" si="79"/>
        <v>2.1037325173369315E-2</v>
      </c>
      <c r="R74" s="48">
        <f t="shared" si="79"/>
        <v>2.1400557853626712E-2</v>
      </c>
      <c r="S74" s="48">
        <f t="shared" si="79"/>
        <v>1.988247718342917E-2</v>
      </c>
      <c r="T74" s="48">
        <f t="shared" si="79"/>
        <v>1.5901421465456256E-2</v>
      </c>
      <c r="U74" s="48">
        <f t="shared" si="79"/>
        <v>1.6584055006608089E-2</v>
      </c>
      <c r="V74" s="48">
        <f t="shared" si="79"/>
        <v>1.9160880776132316E-3</v>
      </c>
      <c r="W74" s="48">
        <f t="shared" si="79"/>
        <v>1.5926937210125836E-2</v>
      </c>
      <c r="X74" s="48">
        <f t="shared" si="79"/>
        <v>5.6616673500299974E-2</v>
      </c>
      <c r="Y74" s="48">
        <f t="shared" ref="Y74:AC74" si="80">Y36-X36</f>
        <v>2.6524775236105747E-2</v>
      </c>
      <c r="Z74" s="48">
        <f t="shared" si="80"/>
        <v>6.6778340459379582E-2</v>
      </c>
      <c r="AA74" s="48">
        <f t="shared" si="80"/>
        <v>4.6100350997063444E-2</v>
      </c>
      <c r="AB74" s="48">
        <f t="shared" si="80"/>
        <v>-3.0000000000000249E-2</v>
      </c>
      <c r="AC74" s="48">
        <f t="shared" si="80"/>
        <v>-8.0000000000000071E-2</v>
      </c>
      <c r="AD74" s="60">
        <f t="shared" ref="AD74:AL74" si="81">AD36-AC36</f>
        <v>-7.9999999999999627E-2</v>
      </c>
      <c r="AE74" s="60">
        <f t="shared" si="81"/>
        <v>-0.15726228582187929</v>
      </c>
      <c r="AF74" s="71">
        <f t="shared" si="81"/>
        <v>-0.11273771417812095</v>
      </c>
      <c r="AG74" s="71">
        <f t="shared" si="81"/>
        <v>-4.0000000000000036E-2</v>
      </c>
      <c r="AH74" s="71">
        <f t="shared" si="81"/>
        <v>-2.8335308056872011E-2</v>
      </c>
      <c r="AI74" s="71">
        <f t="shared" si="81"/>
        <v>-2.1664691943127812E-2</v>
      </c>
      <c r="AJ74" s="71">
        <f t="shared" si="81"/>
        <v>-1.2009791447025631E-2</v>
      </c>
      <c r="AK74" s="71">
        <f t="shared" si="81"/>
        <v>-2.7711007365291973E-2</v>
      </c>
      <c r="AL74" s="71">
        <f t="shared" si="81"/>
        <v>-3.0279201187682458E-2</v>
      </c>
      <c r="AM74" s="320"/>
      <c r="AN74" s="320"/>
      <c r="AO74" s="320"/>
      <c r="AP74" s="320"/>
      <c r="AQ74" s="320"/>
      <c r="AR74" s="320"/>
      <c r="AS74" s="320"/>
      <c r="AT74" s="320"/>
      <c r="AU74" s="320"/>
      <c r="AV74" s="320"/>
      <c r="AW74" s="320"/>
      <c r="AX74" s="320"/>
      <c r="AY74" s="320"/>
      <c r="AZ74" s="320"/>
      <c r="BA74" s="320"/>
      <c r="BB74" s="320"/>
      <c r="BC74" s="320"/>
      <c r="BD74" s="48"/>
    </row>
    <row r="75" spans="1:58">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58"/>
      <c r="AE75" s="58"/>
      <c r="AF75" s="55"/>
      <c r="AG75" s="55"/>
      <c r="AH75" s="55"/>
      <c r="AI75" s="55"/>
      <c r="AJ75" s="55"/>
      <c r="AK75" s="55"/>
      <c r="AL75" s="55"/>
      <c r="AM75" s="55"/>
      <c r="AN75" s="55"/>
      <c r="AO75" s="55"/>
      <c r="AP75" s="55"/>
      <c r="AQ75" s="55"/>
      <c r="AR75" s="55"/>
      <c r="AS75" s="55"/>
      <c r="AT75" s="55"/>
      <c r="AU75" s="55"/>
      <c r="AV75" s="55"/>
      <c r="AW75" s="55"/>
      <c r="AX75" s="55"/>
      <c r="AY75" s="55"/>
      <c r="AZ75" s="55"/>
      <c r="BA75" s="55"/>
      <c r="BB75" s="55"/>
      <c r="BC75" s="55"/>
      <c r="BD75" s="4"/>
    </row>
    <row r="76" spans="1:58">
      <c r="A76" s="2" t="s">
        <v>166</v>
      </c>
      <c r="B76" s="4"/>
      <c r="C76" s="4"/>
      <c r="D76" s="4"/>
      <c r="E76" s="4"/>
      <c r="F76" s="4">
        <f t="shared" ref="F76:X76" si="82">F35/B35-1</f>
        <v>-7.1292434328646848E-2</v>
      </c>
      <c r="G76" s="4">
        <f t="shared" si="82"/>
        <v>-6.4822049195786269E-2</v>
      </c>
      <c r="H76" s="4">
        <f t="shared" si="82"/>
        <v>6.6107151069212389E-3</v>
      </c>
      <c r="I76" s="4">
        <f t="shared" si="82"/>
        <v>4.3961727437289433E-3</v>
      </c>
      <c r="J76" s="4">
        <f t="shared" si="82"/>
        <v>1.3592290762000969E-2</v>
      </c>
      <c r="K76" s="4">
        <f t="shared" si="82"/>
        <v>-2.0598657486099459E-2</v>
      </c>
      <c r="L76" s="4">
        <f t="shared" si="82"/>
        <v>-2.5641025641025661E-2</v>
      </c>
      <c r="M76" s="4">
        <f t="shared" si="82"/>
        <v>-2.2914521112255448E-2</v>
      </c>
      <c r="N76" s="4">
        <f t="shared" si="82"/>
        <v>9.9768185686199828E-4</v>
      </c>
      <c r="O76" s="4">
        <f t="shared" si="82"/>
        <v>5.8830450641256249E-4</v>
      </c>
      <c r="P76" s="4">
        <f t="shared" si="82"/>
        <v>-4.5129527605204389E-3</v>
      </c>
      <c r="Q76" s="4">
        <f t="shared" si="82"/>
        <v>-4.2160737812911853E-3</v>
      </c>
      <c r="R76" s="4">
        <f t="shared" si="82"/>
        <v>2.579661712543535E-3</v>
      </c>
      <c r="S76" s="4">
        <f t="shared" si="82"/>
        <v>8.113828786453503E-3</v>
      </c>
      <c r="T76" s="4">
        <f t="shared" si="82"/>
        <v>1.4218428024727725E-2</v>
      </c>
      <c r="U76" s="4">
        <f t="shared" si="82"/>
        <v>1.9405486460262855E-2</v>
      </c>
      <c r="V76" s="4">
        <f t="shared" si="82"/>
        <v>2.4488391503863616E-2</v>
      </c>
      <c r="W76" s="4">
        <f t="shared" si="82"/>
        <v>2.0460186503431732E-2</v>
      </c>
      <c r="X76" s="4">
        <f t="shared" si="82"/>
        <v>1.4882720424614915E-2</v>
      </c>
      <c r="Y76" s="4"/>
      <c r="Z76" s="4"/>
      <c r="AA76" s="4"/>
      <c r="AB76" s="4"/>
      <c r="AC76" s="4"/>
      <c r="AD76" s="58"/>
      <c r="AE76" s="58"/>
      <c r="AF76" s="55"/>
      <c r="AG76" s="55"/>
      <c r="AH76" s="55"/>
      <c r="AI76" s="55"/>
      <c r="AJ76" s="55"/>
      <c r="AK76" s="55"/>
      <c r="AL76" s="55"/>
      <c r="AM76" s="55"/>
      <c r="AN76" s="55"/>
      <c r="AO76" s="55"/>
      <c r="AP76" s="55"/>
      <c r="AQ76" s="55"/>
      <c r="AR76" s="55"/>
      <c r="AS76" s="55"/>
      <c r="AT76" s="55"/>
      <c r="AU76" s="55"/>
      <c r="AV76" s="55"/>
      <c r="AW76" s="55"/>
      <c r="AX76" s="55"/>
      <c r="AY76" s="55"/>
      <c r="AZ76" s="55"/>
      <c r="BA76" s="55"/>
      <c r="BB76" s="55"/>
      <c r="BC76" s="55"/>
      <c r="BD76" s="4"/>
    </row>
    <row r="77" spans="1:58">
      <c r="A77" s="2" t="s">
        <v>167</v>
      </c>
      <c r="B77" s="4"/>
      <c r="C77" s="4">
        <f t="shared" ref="C77:X77" si="83">C35/B35-1</f>
        <v>2.5246526530950497E-2</v>
      </c>
      <c r="D77" s="4">
        <f t="shared" si="83"/>
        <v>-6.2639760756526663E-2</v>
      </c>
      <c r="E77" s="4">
        <f t="shared" si="83"/>
        <v>3.1616463554851038E-4</v>
      </c>
      <c r="F77" s="4">
        <f t="shared" si="83"/>
        <v>-3.3933856276757712E-2</v>
      </c>
      <c r="G77" s="4">
        <f t="shared" si="83"/>
        <v>3.238950687050135E-2</v>
      </c>
      <c r="H77" s="4">
        <f t="shared" si="83"/>
        <v>8.959695773673948E-3</v>
      </c>
      <c r="I77" s="4">
        <f t="shared" si="83"/>
        <v>-1.8845297241734116E-3</v>
      </c>
      <c r="J77" s="4">
        <f t="shared" si="83"/>
        <v>-2.5088682915665461E-2</v>
      </c>
      <c r="K77" s="4">
        <f t="shared" si="83"/>
        <v>-2.4355174741043095E-3</v>
      </c>
      <c r="L77" s="4">
        <f t="shared" si="83"/>
        <v>3.7651488410401779E-3</v>
      </c>
      <c r="M77" s="4">
        <f t="shared" si="83"/>
        <v>9.0845152971508192E-4</v>
      </c>
      <c r="N77" s="4">
        <f t="shared" si="83"/>
        <v>-1.2296881862099429E-3</v>
      </c>
      <c r="O77" s="4">
        <f t="shared" si="83"/>
        <v>-2.8434907513265051E-3</v>
      </c>
      <c r="P77" s="4">
        <f t="shared" si="83"/>
        <v>-1.3523047977422875E-3</v>
      </c>
      <c r="Q77" s="4">
        <f t="shared" si="83"/>
        <v>1.2069473064468816E-3</v>
      </c>
      <c r="R77" s="4">
        <f t="shared" si="83"/>
        <v>5.5864279203787781E-3</v>
      </c>
      <c r="S77" s="4">
        <f t="shared" si="83"/>
        <v>2.6607409140082527E-3</v>
      </c>
      <c r="T77" s="4">
        <f t="shared" si="83"/>
        <v>4.6949725883587146E-3</v>
      </c>
      <c r="U77" s="4">
        <f t="shared" si="83"/>
        <v>6.3274605984964261E-3</v>
      </c>
      <c r="V77" s="4">
        <f t="shared" si="83"/>
        <v>1.060042911435044E-2</v>
      </c>
      <c r="W77" s="4">
        <f t="shared" si="83"/>
        <v>-1.2816395402570624E-3</v>
      </c>
      <c r="X77" s="4">
        <f t="shared" si="83"/>
        <v>-7.9632653656824814E-4</v>
      </c>
      <c r="Y77" s="4"/>
      <c r="Z77" s="4"/>
      <c r="AA77" s="4"/>
      <c r="AB77" s="4"/>
      <c r="AC77" s="4"/>
      <c r="AD77" s="58"/>
      <c r="AE77" s="58"/>
      <c r="AF77" s="55"/>
      <c r="AG77" s="55"/>
      <c r="AH77" s="55"/>
      <c r="AI77" s="55"/>
      <c r="AJ77" s="55"/>
      <c r="AK77" s="55"/>
      <c r="AL77" s="55"/>
      <c r="AM77" s="55"/>
      <c r="AN77" s="55"/>
      <c r="AO77" s="55"/>
      <c r="AP77" s="55"/>
      <c r="AQ77" s="55"/>
      <c r="AR77" s="55"/>
      <c r="AS77" s="55"/>
      <c r="AT77" s="55"/>
      <c r="AU77" s="55"/>
      <c r="AV77" s="55"/>
      <c r="AW77" s="55"/>
      <c r="AX77" s="55"/>
      <c r="AY77" s="55"/>
      <c r="AZ77" s="55"/>
      <c r="BA77" s="55"/>
      <c r="BB77" s="55"/>
      <c r="BC77" s="55"/>
      <c r="BD77" s="4"/>
    </row>
    <row r="78" spans="1:58">
      <c r="AE78" s="2"/>
    </row>
    <row r="79" spans="1:58" s="27" customFormat="1" ht="15.35">
      <c r="A79" s="510" t="s">
        <v>169</v>
      </c>
      <c r="B79" s="527" t="str">
        <f>B$43</f>
        <v>Q1 12</v>
      </c>
      <c r="C79" s="527" t="str">
        <f t="shared" ref="C79:BC79" si="84">C$43</f>
        <v>Q2 12</v>
      </c>
      <c r="D79" s="527" t="str">
        <f t="shared" si="84"/>
        <v>Q3 12</v>
      </c>
      <c r="E79" s="527" t="str">
        <f t="shared" si="84"/>
        <v>4Q12</v>
      </c>
      <c r="F79" s="527" t="str">
        <f t="shared" si="84"/>
        <v>1Q13</v>
      </c>
      <c r="G79" s="527" t="str">
        <f t="shared" si="84"/>
        <v>2Q13</v>
      </c>
      <c r="H79" s="527" t="str">
        <f t="shared" si="84"/>
        <v>3Q13</v>
      </c>
      <c r="I79" s="527" t="str">
        <f t="shared" si="84"/>
        <v>4Q13</v>
      </c>
      <c r="J79" s="527" t="str">
        <f t="shared" si="84"/>
        <v>1Q14</v>
      </c>
      <c r="K79" s="527" t="str">
        <f t="shared" si="84"/>
        <v>2Q14</v>
      </c>
      <c r="L79" s="527" t="str">
        <f t="shared" si="84"/>
        <v>3Q14</v>
      </c>
      <c r="M79" s="527" t="str">
        <f t="shared" si="84"/>
        <v>4Q14</v>
      </c>
      <c r="N79" s="527" t="str">
        <f t="shared" si="84"/>
        <v>1Q15</v>
      </c>
      <c r="O79" s="527" t="str">
        <f t="shared" si="84"/>
        <v>2Q15</v>
      </c>
      <c r="P79" s="527" t="str">
        <f t="shared" si="84"/>
        <v>3Q15</v>
      </c>
      <c r="Q79" s="527" t="str">
        <f t="shared" si="84"/>
        <v>4Q15</v>
      </c>
      <c r="R79" s="527" t="str">
        <f t="shared" si="84"/>
        <v>1Q16</v>
      </c>
      <c r="S79" s="527" t="str">
        <f t="shared" si="84"/>
        <v>2Q16</v>
      </c>
      <c r="T79" s="527" t="str">
        <f t="shared" si="84"/>
        <v>3Q16</v>
      </c>
      <c r="U79" s="527" t="str">
        <f t="shared" si="84"/>
        <v>4Q16</v>
      </c>
      <c r="V79" s="527" t="str">
        <f t="shared" si="84"/>
        <v>1Q17</v>
      </c>
      <c r="W79" s="527" t="str">
        <f t="shared" si="84"/>
        <v>2Q17</v>
      </c>
      <c r="X79" s="527" t="str">
        <f t="shared" si="84"/>
        <v>3Q17</v>
      </c>
      <c r="Y79" s="527" t="str">
        <f t="shared" si="84"/>
        <v>4Q17</v>
      </c>
      <c r="Z79" s="527" t="str">
        <f t="shared" si="84"/>
        <v>1Q18</v>
      </c>
      <c r="AA79" s="527" t="str">
        <f t="shared" si="84"/>
        <v>2Q18</v>
      </c>
      <c r="AB79" s="527" t="str">
        <f t="shared" si="84"/>
        <v>3Q18</v>
      </c>
      <c r="AC79" s="527" t="str">
        <f t="shared" si="84"/>
        <v>4Q18</v>
      </c>
      <c r="AD79" s="527" t="str">
        <f t="shared" si="84"/>
        <v>1Q19</v>
      </c>
      <c r="AE79" s="527" t="str">
        <f t="shared" si="84"/>
        <v>2Q19</v>
      </c>
      <c r="AF79" s="527" t="str">
        <f t="shared" si="84"/>
        <v>3Q19</v>
      </c>
      <c r="AG79" s="527" t="str">
        <f t="shared" si="84"/>
        <v>4Q19</v>
      </c>
      <c r="AH79" s="527" t="str">
        <f t="shared" si="84"/>
        <v>1Q20</v>
      </c>
      <c r="AI79" s="527" t="str">
        <f t="shared" si="84"/>
        <v>2Q20</v>
      </c>
      <c r="AJ79" s="527" t="str">
        <f t="shared" si="84"/>
        <v>3Q20</v>
      </c>
      <c r="AK79" s="527" t="str">
        <f t="shared" si="84"/>
        <v>4Q20</v>
      </c>
      <c r="AL79" s="527" t="str">
        <f t="shared" si="84"/>
        <v>1Q21</v>
      </c>
      <c r="AM79" s="527" t="str">
        <f t="shared" si="84"/>
        <v>2Q21</v>
      </c>
      <c r="AN79" s="527" t="str">
        <f t="shared" si="84"/>
        <v>3Q21</v>
      </c>
      <c r="AO79" s="527" t="str">
        <f t="shared" si="84"/>
        <v>4Q21</v>
      </c>
      <c r="AP79" s="527" t="str">
        <f t="shared" si="84"/>
        <v>1Q22</v>
      </c>
      <c r="AQ79" s="527" t="str">
        <f t="shared" si="84"/>
        <v>2Q22</v>
      </c>
      <c r="AR79" s="527" t="str">
        <f t="shared" si="84"/>
        <v>3Q22</v>
      </c>
      <c r="AS79" s="527" t="str">
        <f t="shared" si="84"/>
        <v>4Q22</v>
      </c>
      <c r="AT79" s="527" t="str">
        <f t="shared" si="84"/>
        <v>1Q23</v>
      </c>
      <c r="AU79" s="527" t="str">
        <f t="shared" si="84"/>
        <v>2Q23</v>
      </c>
      <c r="AV79" s="527" t="str">
        <f t="shared" si="84"/>
        <v>3Q23</v>
      </c>
      <c r="AW79" s="527" t="str">
        <f t="shared" si="84"/>
        <v>4Q23</v>
      </c>
      <c r="AX79" s="527" t="str">
        <f t="shared" si="84"/>
        <v>1Q24</v>
      </c>
      <c r="AY79" s="527" t="str">
        <f t="shared" si="84"/>
        <v>2Q24</v>
      </c>
      <c r="AZ79" s="527" t="str">
        <f t="shared" si="84"/>
        <v>3Q24</v>
      </c>
      <c r="BA79" s="527" t="str">
        <f t="shared" si="84"/>
        <v>4Q24</v>
      </c>
      <c r="BB79" s="527" t="str">
        <f t="shared" si="84"/>
        <v>1Q25</v>
      </c>
      <c r="BC79" s="527" t="str">
        <f t="shared" si="84"/>
        <v>2Q25</v>
      </c>
      <c r="BD79" s="527"/>
      <c r="BE79" s="510"/>
      <c r="BF79" s="176"/>
    </row>
    <row r="80" spans="1:58">
      <c r="F80" s="5"/>
      <c r="G80" s="5"/>
      <c r="H80" s="5"/>
      <c r="I80" s="5"/>
      <c r="J80" s="5"/>
      <c r="K80" s="5"/>
      <c r="L80" s="5"/>
      <c r="M80" s="5"/>
      <c r="N80" s="5"/>
      <c r="O80" s="5"/>
      <c r="P80" s="5"/>
      <c r="Q80" s="5"/>
      <c r="R80" s="5"/>
      <c r="S80" s="5"/>
      <c r="T80" s="5"/>
      <c r="U80" s="5"/>
      <c r="V80" s="5"/>
      <c r="W80" s="5"/>
      <c r="X80" s="5"/>
      <c r="Y80" s="5"/>
      <c r="Z80" s="5"/>
      <c r="AA80" s="5"/>
      <c r="AB80" s="5"/>
      <c r="AC80" s="5"/>
      <c r="AD80" s="57"/>
      <c r="AE80" s="57"/>
      <c r="AF80" s="54"/>
      <c r="AG80" s="54"/>
      <c r="AH80" s="54"/>
      <c r="AI80" s="54"/>
      <c r="AJ80" s="54"/>
      <c r="AK80" s="54"/>
      <c r="AL80" s="54"/>
      <c r="AM80" s="54"/>
      <c r="AN80" s="54"/>
      <c r="AO80" s="54"/>
      <c r="AP80" s="54"/>
      <c r="AQ80" s="54"/>
      <c r="AR80" s="54"/>
      <c r="AS80" s="54"/>
      <c r="AT80" s="54"/>
      <c r="AU80" s="54"/>
      <c r="AV80" s="54"/>
      <c r="AW80" s="54"/>
      <c r="AX80" s="54"/>
      <c r="AY80" s="54"/>
      <c r="AZ80" s="54"/>
      <c r="BA80" s="54"/>
      <c r="BB80" s="54"/>
      <c r="BC80" s="54"/>
    </row>
    <row r="81" spans="1:58">
      <c r="A81" s="2" t="s">
        <v>527</v>
      </c>
      <c r="F81" s="5"/>
      <c r="G81" s="5"/>
      <c r="H81" s="5"/>
      <c r="I81" s="5"/>
      <c r="J81" s="5"/>
      <c r="K81" s="5"/>
      <c r="L81" s="5"/>
      <c r="M81" s="5"/>
      <c r="N81" s="5"/>
      <c r="O81" s="5"/>
      <c r="P81" s="5"/>
      <c r="Q81" s="5"/>
      <c r="R81" s="5"/>
      <c r="S81" s="5"/>
      <c r="T81" s="5">
        <f>'Other India financials'!T25*1000/AVERAGE('Other India Operations'!T20,'Other India Operations'!S20)/3</f>
        <v>4649.3391317928345</v>
      </c>
      <c r="U81" s="5">
        <f>'Other India financials'!U25*1000/AVERAGE('Other India Operations'!U20,'Other India Operations'!T20)/3</f>
        <v>4589.0756057865538</v>
      </c>
      <c r="V81" s="5">
        <f>'Other India financials'!V25*1000/AVERAGE('Other India Operations'!V20,'Other India Operations'!U20)/3</f>
        <v>5213.4655536161627</v>
      </c>
      <c r="W81" s="5">
        <f>'Other India financials'!W25*1000/AVERAGE('Other India Operations'!W20,'Other India Operations'!V20)/3</f>
        <v>5802.3969158448754</v>
      </c>
      <c r="X81" s="5">
        <f>'Other India financials'!X25*1000/AVERAGE('Other India Operations'!X20,'Other India Operations'!W20)/3</f>
        <v>5239.7669209643709</v>
      </c>
      <c r="Y81" s="5">
        <f>'Other India financials'!Y25*1000/AVERAGE('Other India Operations'!Y20,'Other India Operations'!X20)/3</f>
        <v>4959.2740258750773</v>
      </c>
      <c r="Z81" s="5">
        <f>'Other India financials'!Z25*1000/AVERAGE('Other India Operations'!Z20,'Other India Operations'!Y20)/3</f>
        <v>5340.9888994848961</v>
      </c>
      <c r="AA81" s="5">
        <f>'Other India financials'!AA25*1000/AVERAGE('Other India Operations'!AA20,'Other India Operations'!Z20)/3</f>
        <v>5460.6819998945011</v>
      </c>
      <c r="AB81" s="5">
        <f>'Other India financials'!AB25*1000/AVERAGE('Other India Operations'!AB20,'Other India Operations'!AA20)/3</f>
        <v>5601.7943596990708</v>
      </c>
      <c r="AC81" s="5">
        <f>'Other India financials'!AC25*1000/AVERAGE('Other India Operations'!AC20,'Other India Operations'!AB20)/3</f>
        <v>5372.7681237767301</v>
      </c>
      <c r="AD81" s="57">
        <f>'Other India financials'!AD25*1000/AVERAGE('Other India Operations'!AD20,'Other India Operations'!AC20)/3</f>
        <v>5656.48953868636</v>
      </c>
      <c r="AE81" s="57">
        <f>'Other India financials'!AE25*1000/AVERAGE('Other India Operations'!AE20,'Other India Operations'!AD20)/3</f>
        <v>6283.9257588696573</v>
      </c>
      <c r="AF81" s="54">
        <f>'Other India financials'!AF25*1000/AVERAGE('Other India Operations'!AF20,'Other India Operations'!AE20)/3</f>
        <v>5794.20754269794</v>
      </c>
      <c r="AG81" s="54">
        <f>'Other India financials'!AG25*1000/AVERAGE('Other India Operations'!AG20,'Other India Operations'!AF20)/3</f>
        <v>5411.1320747118843</v>
      </c>
      <c r="AH81" s="54">
        <f>'Other India financials'!AH25*1000/AVERAGE('Other India Operations'!AH20,'Other India Operations'!AG20)/3</f>
        <v>5616.3196019968491</v>
      </c>
      <c r="AI81" s="174"/>
      <c r="AJ81" s="174"/>
      <c r="AK81" s="174"/>
      <c r="AL81" s="174"/>
      <c r="AM81" s="174"/>
      <c r="AN81" s="174"/>
      <c r="AO81" s="174"/>
      <c r="AP81" s="174"/>
      <c r="AQ81" s="174"/>
      <c r="AR81" s="174"/>
      <c r="AS81" s="174"/>
      <c r="AT81" s="174"/>
      <c r="AU81" s="174"/>
      <c r="AV81" s="174"/>
      <c r="AW81" s="174"/>
      <c r="AX81" s="174"/>
      <c r="AY81" s="174"/>
      <c r="AZ81" s="174"/>
      <c r="BA81" s="174"/>
      <c r="BB81" s="174"/>
      <c r="BC81" s="174"/>
    </row>
    <row r="82" spans="1:58">
      <c r="A82" s="2" t="s">
        <v>528</v>
      </c>
      <c r="X82" s="4">
        <f t="shared" ref="X82:AC82" si="85">X81/T81-1</f>
        <v>0.12699176645001176</v>
      </c>
      <c r="Y82" s="4">
        <f t="shared" si="85"/>
        <v>8.0669496841962118E-2</v>
      </c>
      <c r="Z82" s="4">
        <f t="shared" si="85"/>
        <v>2.4460379484099848E-2</v>
      </c>
      <c r="AA82" s="4">
        <f t="shared" si="85"/>
        <v>-5.8892027020288396E-2</v>
      </c>
      <c r="AB82" s="4">
        <f t="shared" si="85"/>
        <v>6.9092279140551716E-2</v>
      </c>
      <c r="AC82" s="4">
        <f t="shared" si="85"/>
        <v>8.3377949220841963E-2</v>
      </c>
      <c r="AD82" s="58">
        <f t="shared" ref="AD82:AH82" si="86">AD81/Z81-1</f>
        <v>5.9071577406178744E-2</v>
      </c>
      <c r="AE82" s="58">
        <f t="shared" si="86"/>
        <v>0.15075841424039371</v>
      </c>
      <c r="AF82" s="55">
        <f t="shared" si="86"/>
        <v>3.4348490973382662E-2</v>
      </c>
      <c r="AG82" s="55">
        <f t="shared" si="86"/>
        <v>7.1404441902820359E-3</v>
      </c>
      <c r="AH82" s="55">
        <f t="shared" si="86"/>
        <v>-7.1015665130779171E-3</v>
      </c>
      <c r="AI82" s="70"/>
      <c r="AJ82" s="70"/>
      <c r="AK82" s="70"/>
      <c r="AL82" s="70"/>
      <c r="AM82" s="70"/>
      <c r="AN82" s="70"/>
      <c r="AO82" s="70"/>
      <c r="AP82" s="70"/>
      <c r="AQ82" s="70"/>
      <c r="AR82" s="70"/>
      <c r="AS82" s="70"/>
      <c r="AT82" s="70"/>
      <c r="AU82" s="70"/>
      <c r="AV82" s="70"/>
      <c r="AW82" s="70"/>
      <c r="AX82" s="70"/>
      <c r="AY82" s="70"/>
      <c r="AZ82" s="70"/>
      <c r="BA82" s="70"/>
      <c r="BB82" s="70"/>
      <c r="BC82" s="70"/>
    </row>
    <row r="83" spans="1:58">
      <c r="AE83" s="2"/>
    </row>
    <row r="84" spans="1:58" s="27" customFormat="1" ht="15.35">
      <c r="A84" s="510" t="s">
        <v>573</v>
      </c>
      <c r="B84" s="527" t="str">
        <f>B$43</f>
        <v>Q1 12</v>
      </c>
      <c r="C84" s="527" t="str">
        <f t="shared" ref="C84:BC84" si="87">C$43</f>
        <v>Q2 12</v>
      </c>
      <c r="D84" s="527" t="str">
        <f t="shared" si="87"/>
        <v>Q3 12</v>
      </c>
      <c r="E84" s="527" t="str">
        <f t="shared" si="87"/>
        <v>4Q12</v>
      </c>
      <c r="F84" s="527" t="str">
        <f t="shared" si="87"/>
        <v>1Q13</v>
      </c>
      <c r="G84" s="527" t="str">
        <f t="shared" si="87"/>
        <v>2Q13</v>
      </c>
      <c r="H84" s="527" t="str">
        <f t="shared" si="87"/>
        <v>3Q13</v>
      </c>
      <c r="I84" s="527" t="str">
        <f t="shared" si="87"/>
        <v>4Q13</v>
      </c>
      <c r="J84" s="527" t="str">
        <f t="shared" si="87"/>
        <v>1Q14</v>
      </c>
      <c r="K84" s="527" t="str">
        <f t="shared" si="87"/>
        <v>2Q14</v>
      </c>
      <c r="L84" s="527" t="str">
        <f t="shared" si="87"/>
        <v>3Q14</v>
      </c>
      <c r="M84" s="527" t="str">
        <f t="shared" si="87"/>
        <v>4Q14</v>
      </c>
      <c r="N84" s="527" t="str">
        <f t="shared" si="87"/>
        <v>1Q15</v>
      </c>
      <c r="O84" s="527" t="str">
        <f t="shared" si="87"/>
        <v>2Q15</v>
      </c>
      <c r="P84" s="527" t="str">
        <f t="shared" si="87"/>
        <v>3Q15</v>
      </c>
      <c r="Q84" s="527" t="str">
        <f t="shared" si="87"/>
        <v>4Q15</v>
      </c>
      <c r="R84" s="527" t="str">
        <f t="shared" si="87"/>
        <v>1Q16</v>
      </c>
      <c r="S84" s="527" t="str">
        <f t="shared" si="87"/>
        <v>2Q16</v>
      </c>
      <c r="T84" s="527" t="str">
        <f t="shared" si="87"/>
        <v>3Q16</v>
      </c>
      <c r="U84" s="527" t="str">
        <f t="shared" si="87"/>
        <v>4Q16</v>
      </c>
      <c r="V84" s="527" t="str">
        <f t="shared" si="87"/>
        <v>1Q17</v>
      </c>
      <c r="W84" s="527" t="str">
        <f t="shared" si="87"/>
        <v>2Q17</v>
      </c>
      <c r="X84" s="527" t="str">
        <f t="shared" si="87"/>
        <v>3Q17</v>
      </c>
      <c r="Y84" s="527" t="str">
        <f t="shared" si="87"/>
        <v>4Q17</v>
      </c>
      <c r="Z84" s="527" t="str">
        <f t="shared" si="87"/>
        <v>1Q18</v>
      </c>
      <c r="AA84" s="527" t="str">
        <f t="shared" si="87"/>
        <v>2Q18</v>
      </c>
      <c r="AB84" s="527" t="str">
        <f t="shared" si="87"/>
        <v>3Q18</v>
      </c>
      <c r="AC84" s="527" t="str">
        <f t="shared" si="87"/>
        <v>4Q18</v>
      </c>
      <c r="AD84" s="527" t="str">
        <f t="shared" si="87"/>
        <v>1Q19</v>
      </c>
      <c r="AE84" s="527" t="str">
        <f t="shared" si="87"/>
        <v>2Q19</v>
      </c>
      <c r="AF84" s="527" t="str">
        <f t="shared" si="87"/>
        <v>3Q19</v>
      </c>
      <c r="AG84" s="527" t="str">
        <f t="shared" si="87"/>
        <v>4Q19</v>
      </c>
      <c r="AH84" s="527" t="str">
        <f t="shared" si="87"/>
        <v>1Q20</v>
      </c>
      <c r="AI84" s="527" t="str">
        <f t="shared" si="87"/>
        <v>2Q20</v>
      </c>
      <c r="AJ84" s="527" t="str">
        <f t="shared" si="87"/>
        <v>3Q20</v>
      </c>
      <c r="AK84" s="527" t="str">
        <f t="shared" si="87"/>
        <v>4Q20</v>
      </c>
      <c r="AL84" s="527" t="str">
        <f t="shared" si="87"/>
        <v>1Q21</v>
      </c>
      <c r="AM84" s="527" t="str">
        <f t="shared" si="87"/>
        <v>2Q21</v>
      </c>
      <c r="AN84" s="527" t="str">
        <f t="shared" si="87"/>
        <v>3Q21</v>
      </c>
      <c r="AO84" s="527" t="str">
        <f t="shared" si="87"/>
        <v>4Q21</v>
      </c>
      <c r="AP84" s="527" t="str">
        <f t="shared" si="87"/>
        <v>1Q22</v>
      </c>
      <c r="AQ84" s="527" t="str">
        <f t="shared" si="87"/>
        <v>2Q22</v>
      </c>
      <c r="AR84" s="527" t="str">
        <f t="shared" si="87"/>
        <v>3Q22</v>
      </c>
      <c r="AS84" s="527" t="str">
        <f t="shared" si="87"/>
        <v>4Q22</v>
      </c>
      <c r="AT84" s="527" t="str">
        <f t="shared" si="87"/>
        <v>1Q23</v>
      </c>
      <c r="AU84" s="527" t="str">
        <f t="shared" si="87"/>
        <v>2Q23</v>
      </c>
      <c r="AV84" s="527" t="str">
        <f t="shared" si="87"/>
        <v>3Q23</v>
      </c>
      <c r="AW84" s="527" t="str">
        <f t="shared" si="87"/>
        <v>4Q23</v>
      </c>
      <c r="AX84" s="527" t="str">
        <f t="shared" si="87"/>
        <v>1Q24</v>
      </c>
      <c r="AY84" s="527" t="str">
        <f t="shared" si="87"/>
        <v>2Q24</v>
      </c>
      <c r="AZ84" s="527" t="str">
        <f t="shared" si="87"/>
        <v>3Q24</v>
      </c>
      <c r="BA84" s="527" t="str">
        <f t="shared" si="87"/>
        <v>4Q24</v>
      </c>
      <c r="BB84" s="527" t="str">
        <f t="shared" si="87"/>
        <v>1Q25</v>
      </c>
      <c r="BC84" s="527" t="str">
        <f t="shared" si="87"/>
        <v>2Q25</v>
      </c>
      <c r="BD84" s="527"/>
      <c r="BE84" s="510"/>
      <c r="BF84" s="176"/>
    </row>
    <row r="85" spans="1:58">
      <c r="A85" s="2" t="s">
        <v>574</v>
      </c>
      <c r="C85" s="5"/>
      <c r="D85" s="5"/>
      <c r="E85" s="5"/>
      <c r="F85" s="5"/>
      <c r="G85" s="5"/>
      <c r="H85" s="5"/>
      <c r="I85" s="5"/>
      <c r="J85" s="5"/>
      <c r="K85" s="5"/>
      <c r="L85" s="5"/>
      <c r="M85" s="5"/>
      <c r="N85" s="5"/>
      <c r="O85" s="5"/>
      <c r="P85" s="5"/>
      <c r="Q85" s="5"/>
      <c r="R85" s="194"/>
      <c r="S85" s="195"/>
      <c r="T85" s="195">
        <f>'Domestic Mobile Operations'!T39*1000/'Other India Operations'!T25/3</f>
        <v>449.64873529525488</v>
      </c>
      <c r="U85" s="195">
        <f>'Domestic Mobile Operations'!U39*1000/'Other India Operations'!U25/3</f>
        <v>413.90879813200655</v>
      </c>
      <c r="V85" s="195">
        <f>'Domestic Mobile Operations'!V39*1000/'Other India Operations'!V25/3</f>
        <v>382.92775583759072</v>
      </c>
      <c r="W85" s="195">
        <f>'Domestic Mobile Operations'!W39*1000/'Other India Operations'!W25/3</f>
        <v>400.97207102461408</v>
      </c>
      <c r="X85" s="195">
        <f>'Domestic Mobile Operations'!X39*1000/'Other India Operations'!X25/3</f>
        <v>335.23249777077302</v>
      </c>
      <c r="Y85" s="195">
        <f>'Domestic Mobile Operations'!Y39*1000/'Other India Operations'!Y25/3</f>
        <v>393.14883887814199</v>
      </c>
      <c r="Z85" s="195">
        <f>'Domestic Mobile Operations'!Z39*1000/'Other India Operations'!Z25/3</f>
        <v>773.74456690255147</v>
      </c>
      <c r="AA85" s="195">
        <f>'Domestic Mobile Operations'!AA39*1000/'Other India Operations'!AA25/3</f>
        <v>1155.3856449625293</v>
      </c>
      <c r="AB85" s="195">
        <f>'Domestic Mobile Operations'!AB39*1000/'Other India Operations'!AB25/3</f>
        <v>1423.2052091585349</v>
      </c>
      <c r="AC85" s="195">
        <f>'Domestic Mobile Operations'!AC39*1000/'Other India Operations'!AC25/3</f>
        <v>1722.2298357457219</v>
      </c>
      <c r="AD85" s="195">
        <f>'Domestic Mobile Operations'!AD39*1000/'Other India Operations'!AD25/3</f>
        <v>2238.827692090721</v>
      </c>
      <c r="AE85" s="195">
        <f>'Domestic Mobile Operations'!AE39*1000/'Other India Operations'!AE25/3</f>
        <v>2550.8013032564154</v>
      </c>
      <c r="AF85" s="196">
        <f>'Domestic Mobile Operations'!AF39*1000/'Other India Operations'!AF25/3</f>
        <v>2885.9221341256639</v>
      </c>
      <c r="AG85" s="196">
        <f>'Domestic Mobile Operations'!AG39*1000/'Other India Operations'!AG25/3</f>
        <v>2957.3105562646119</v>
      </c>
      <c r="AH85" s="196">
        <f>'Domestic Mobile Operations'!AH39*1000/'Other India Operations'!AH25/3</f>
        <v>3148.3226292946733</v>
      </c>
      <c r="AI85" s="196">
        <f>'Domestic Mobile Operations'!AI39*1000/'Other India Operations'!AI25/3</f>
        <v>3484.6439239272181</v>
      </c>
      <c r="AJ85" s="196">
        <f>'Domestic Mobile Operations'!AJ39*1000/'Other India Operations'!AJ25/3</f>
        <v>3902.1613941806809</v>
      </c>
      <c r="AK85" s="196">
        <f>'Domestic Mobile Operations'!AK39*1000/'Other India Operations'!AK25/3</f>
        <v>4268.7324794035258</v>
      </c>
      <c r="AL85" s="196">
        <f>'Domestic Mobile Operations'!AL39*1000/'Other India Operations'!AL25/3</f>
        <v>4760.3222343780244</v>
      </c>
      <c r="AM85" s="196">
        <f>'Domestic Mobile Operations'!AM39*1000/'Other India Operations'!AM25/3</f>
        <v>4740.5756604817279</v>
      </c>
      <c r="AN85" s="300"/>
      <c r="AO85" s="300"/>
      <c r="AP85" s="300"/>
      <c r="AQ85" s="300"/>
      <c r="AR85" s="300"/>
      <c r="AS85" s="300"/>
      <c r="AT85" s="300"/>
      <c r="AU85" s="300"/>
      <c r="AV85" s="300"/>
      <c r="AW85" s="300"/>
      <c r="AX85" s="300"/>
      <c r="AY85" s="300"/>
      <c r="AZ85" s="300"/>
      <c r="BA85" s="300"/>
      <c r="BB85" s="300"/>
      <c r="BC85" s="300"/>
    </row>
    <row r="86" spans="1:58">
      <c r="AE86" s="2"/>
    </row>
    <row r="87" spans="1:58">
      <c r="AE87" s="2"/>
    </row>
    <row r="88" spans="1:58">
      <c r="AE88" s="2"/>
    </row>
    <row r="89" spans="1:58">
      <c r="AE89" s="2"/>
    </row>
    <row r="90" spans="1:58">
      <c r="AE90" s="2"/>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E110"/>
  <sheetViews>
    <sheetView showGridLines="0" zoomScale="70" zoomScaleNormal="70" workbookViewId="0">
      <pane xSplit="1" ySplit="1" topLeftCell="AZ2" activePane="bottomRight" state="frozen"/>
      <selection activeCell="BA80" sqref="BA80"/>
      <selection pane="topRight" activeCell="BA80" sqref="BA80"/>
      <selection pane="bottomLeft" activeCell="BA80" sqref="BA80"/>
      <selection pane="bottomRight" activeCell="BC5" sqref="BC5"/>
    </sheetView>
  </sheetViews>
  <sheetFormatPr defaultColWidth="9.234375" defaultRowHeight="15.35"/>
  <cols>
    <col min="1" max="1" width="43.76171875" style="6" customWidth="1"/>
    <col min="2" max="2" width="8.234375" style="36" bestFit="1" customWidth="1"/>
    <col min="3" max="3" width="8.76171875" style="36" bestFit="1" customWidth="1"/>
    <col min="4" max="9" width="8.234375" style="36" bestFit="1" customWidth="1"/>
    <col min="10" max="10" width="9.76171875" style="36" bestFit="1" customWidth="1"/>
    <col min="11" max="12" width="10.234375" style="36" bestFit="1" customWidth="1"/>
    <col min="13" max="13" width="9.76171875" style="36" bestFit="1" customWidth="1"/>
    <col min="14" max="15" width="10.234375" style="36" bestFit="1" customWidth="1"/>
    <col min="16" max="17" width="10.76171875" style="36" bestFit="1" customWidth="1"/>
    <col min="18" max="19" width="11.234375" style="36" bestFit="1" customWidth="1"/>
    <col min="20" max="20" width="10.234375" style="36" customWidth="1"/>
    <col min="21" max="21" width="11.234375" style="36" bestFit="1" customWidth="1"/>
    <col min="22" max="22" width="10.76171875" style="36" bestFit="1" customWidth="1"/>
    <col min="23" max="25" width="11.76171875" style="36" bestFit="1" customWidth="1"/>
    <col min="26" max="27" width="12.234375" style="36" bestFit="1" customWidth="1"/>
    <col min="28" max="29" width="11.76171875" style="36" bestFit="1" customWidth="1"/>
    <col min="30" max="30" width="12.234375" style="36" bestFit="1" customWidth="1"/>
    <col min="31" max="32" width="12.234375" style="122" bestFit="1" customWidth="1"/>
    <col min="33" max="33" width="11.76171875" style="122" bestFit="1" customWidth="1"/>
    <col min="34" max="37" width="12.234375" style="122" bestFit="1" customWidth="1"/>
    <col min="38" max="38" width="12.76171875" style="122" bestFit="1" customWidth="1"/>
    <col min="39" max="42" width="11.76171875" style="122" bestFit="1" customWidth="1"/>
    <col min="43" max="55" width="11.76171875" style="122" customWidth="1"/>
    <col min="56" max="56" width="5.76171875" style="6" customWidth="1"/>
    <col min="57" max="57" width="63.76171875" style="6" bestFit="1" customWidth="1"/>
    <col min="58" max="16384" width="9.234375" style="6"/>
  </cols>
  <sheetData>
    <row r="1" spans="1:57" s="30" customFormat="1">
      <c r="A1" s="508" t="s">
        <v>27</v>
      </c>
      <c r="B1" s="509" t="s">
        <v>0</v>
      </c>
      <c r="C1" s="509" t="s">
        <v>1</v>
      </c>
      <c r="D1" s="509" t="s">
        <v>2</v>
      </c>
      <c r="E1" s="512" t="str">
        <f>'Reported Group Profit and Loss'!E1</f>
        <v>4Q12</v>
      </c>
      <c r="F1" s="512" t="str">
        <f>'Reported Group Profit and Loss'!F1</f>
        <v>1Q13</v>
      </c>
      <c r="G1" s="512" t="str">
        <f>'Reported Group Profit and Loss'!G1</f>
        <v>2Q13</v>
      </c>
      <c r="H1" s="512" t="str">
        <f>'Reported Group Profit and Loss'!H1</f>
        <v>3Q13</v>
      </c>
      <c r="I1" s="512" t="str">
        <f>'Reported Group Profit and Loss'!I1</f>
        <v>4Q13</v>
      </c>
      <c r="J1" s="512" t="str">
        <f>'Reported Group Profit and Loss'!J1</f>
        <v>1Q14</v>
      </c>
      <c r="K1" s="512" t="str">
        <f>'Reported Group Profit and Loss'!K1</f>
        <v>2Q14</v>
      </c>
      <c r="L1" s="512" t="str">
        <f>'Reported Group Profit and Loss'!L1</f>
        <v>3Q14</v>
      </c>
      <c r="M1" s="512" t="str">
        <f>'Reported Group Profit and Loss'!M1</f>
        <v>4Q14</v>
      </c>
      <c r="N1" s="512" t="str">
        <f>'Reported Group Profit and Loss'!N1</f>
        <v>1Q15</v>
      </c>
      <c r="O1" s="512" t="str">
        <f>'Reported Group Profit and Loss'!O1</f>
        <v>2Q15</v>
      </c>
      <c r="P1" s="512" t="str">
        <f>'Reported Group Profit and Loss'!P1</f>
        <v>3Q15</v>
      </c>
      <c r="Q1" s="512" t="str">
        <f>'Reported Group Profit and Loss'!Q1</f>
        <v>4Q15</v>
      </c>
      <c r="R1" s="512" t="str">
        <f>'Reported Group Profit and Loss'!R1</f>
        <v>1Q16</v>
      </c>
      <c r="S1" s="512" t="str">
        <f>'Reported Group Profit and Loss'!S1</f>
        <v>2Q16</v>
      </c>
      <c r="T1" s="512" t="str">
        <f>'Reported Group Profit and Loss'!T1</f>
        <v>3Q16</v>
      </c>
      <c r="U1" s="512" t="str">
        <f>'Reported Group Profit and Loss'!U1</f>
        <v>4Q16</v>
      </c>
      <c r="V1" s="512" t="str">
        <f>'Reported Group Profit and Loss'!V1</f>
        <v>1Q17</v>
      </c>
      <c r="W1" s="512" t="str">
        <f>'Reported Group Profit and Loss'!W1</f>
        <v>2Q17</v>
      </c>
      <c r="X1" s="512" t="str">
        <f>'Reported Group Profit and Loss'!X1</f>
        <v>3Q17</v>
      </c>
      <c r="Y1" s="512" t="str">
        <f>'Reported Group Profit and Loss'!Y1</f>
        <v>4Q17</v>
      </c>
      <c r="Z1" s="512" t="str">
        <f>'Reported Group Profit and Loss'!Z1</f>
        <v>1Q18</v>
      </c>
      <c r="AA1" s="512" t="str">
        <f>'Reported Group Profit and Loss'!AA1</f>
        <v>2Q18</v>
      </c>
      <c r="AB1" s="512" t="str">
        <f>'Reported Group Profit and Loss'!AB1</f>
        <v>3Q18</v>
      </c>
      <c r="AC1" s="512" t="str">
        <f>'Reported Group Profit and Loss'!AC1</f>
        <v>4Q18</v>
      </c>
      <c r="AD1" s="512" t="str">
        <f>'Reported Group Profit and Loss'!AD1</f>
        <v>1Q19</v>
      </c>
      <c r="AE1" s="512" t="str">
        <f>'Reported Group Profit and Loss'!AE1</f>
        <v>2Q19</v>
      </c>
      <c r="AF1" s="512" t="str">
        <f>'Reported Group Profit and Loss'!AF1</f>
        <v>3Q19</v>
      </c>
      <c r="AG1" s="512" t="str">
        <f>'Reported Group Profit and Loss'!AG1</f>
        <v>4Q19</v>
      </c>
      <c r="AH1" s="512" t="str">
        <f>'Reported Group Profit and Loss'!AH1</f>
        <v>1Q20</v>
      </c>
      <c r="AI1" s="512" t="str">
        <f>'Reported Group Profit and Loss'!AI1</f>
        <v>2Q20</v>
      </c>
      <c r="AJ1" s="512" t="str">
        <f>'Reported Group Profit and Loss'!AJ1</f>
        <v>3Q20</v>
      </c>
      <c r="AK1" s="512" t="str">
        <f>'Reported Group Profit and Loss'!AK1</f>
        <v>4Q20</v>
      </c>
      <c r="AL1" s="512" t="str">
        <f>'Reported Group Profit and Loss'!AL1</f>
        <v>1Q21</v>
      </c>
      <c r="AM1" s="512" t="str">
        <f>'Reported Group Profit and Loss'!AM1</f>
        <v>2Q21</v>
      </c>
      <c r="AN1" s="512" t="str">
        <f>'Reported Group Profit and Loss'!AN1</f>
        <v>3Q21</v>
      </c>
      <c r="AO1" s="512" t="str">
        <f>'Reported Group Profit and Loss'!AO1</f>
        <v>4Q21</v>
      </c>
      <c r="AP1" s="512" t="str">
        <f>'Reported Group Profit and Loss'!AP1</f>
        <v>1Q22</v>
      </c>
      <c r="AQ1" s="512" t="str">
        <f>'Reported Group Profit and Loss'!AQ1</f>
        <v>2Q22</v>
      </c>
      <c r="AR1" s="512" t="str">
        <f>'Reported Group Profit and Loss'!AR1</f>
        <v>3Q22</v>
      </c>
      <c r="AS1" s="512" t="str">
        <f>'Reported Group Profit and Loss'!AS1</f>
        <v>4Q22</v>
      </c>
      <c r="AT1" s="512" t="str">
        <f>'Reported Group Profit and Loss'!AT1</f>
        <v>1Q23</v>
      </c>
      <c r="AU1" s="512" t="str">
        <f>'Reported Group Profit and Loss'!AU1</f>
        <v>2Q23</v>
      </c>
      <c r="AV1" s="512" t="str">
        <f>'Reported Group Profit and Loss'!AV1</f>
        <v>3Q23</v>
      </c>
      <c r="AW1" s="512" t="str">
        <f>'Reported Group Profit and Loss'!AW1</f>
        <v>4Q23</v>
      </c>
      <c r="AX1" s="512" t="str">
        <f>'Reported Group Profit and Loss'!AX1</f>
        <v>1Q24</v>
      </c>
      <c r="AY1" s="512" t="str">
        <f>'Reported Group Profit and Loss'!AY1</f>
        <v>2Q24</v>
      </c>
      <c r="AZ1" s="512" t="str">
        <f>'Reported Group Profit and Loss'!AZ1</f>
        <v>3Q24</v>
      </c>
      <c r="BA1" s="512" t="str">
        <f>'Reported Group Profit and Loss'!BA1</f>
        <v>4Q24</v>
      </c>
      <c r="BB1" s="512" t="str">
        <f>'Reported Group Profit and Loss'!BB1</f>
        <v>1Q25</v>
      </c>
      <c r="BC1" s="512" t="str">
        <f>'Reported Group Profit and Loss'!BC1</f>
        <v>2Q25</v>
      </c>
      <c r="BD1" s="508"/>
      <c r="BE1" s="508" t="s">
        <v>209</v>
      </c>
    </row>
    <row r="2" spans="1:57" s="30" customFormat="1">
      <c r="A2" s="508" t="s">
        <v>207</v>
      </c>
      <c r="B2" s="509"/>
      <c r="C2" s="509"/>
      <c r="D2" s="509"/>
      <c r="E2" s="509"/>
      <c r="F2" s="509"/>
      <c r="G2" s="509"/>
      <c r="H2" s="509"/>
      <c r="I2" s="509"/>
      <c r="J2" s="509"/>
      <c r="K2" s="509"/>
      <c r="L2" s="509"/>
      <c r="M2" s="509"/>
      <c r="N2" s="509"/>
      <c r="O2" s="509"/>
      <c r="P2" s="509"/>
      <c r="Q2" s="509"/>
      <c r="R2" s="509"/>
      <c r="S2" s="509"/>
      <c r="T2" s="509"/>
      <c r="U2" s="509"/>
      <c r="V2" s="509"/>
      <c r="W2" s="509"/>
      <c r="X2" s="509"/>
      <c r="Y2" s="509"/>
      <c r="Z2" s="509"/>
      <c r="AA2" s="509"/>
      <c r="AB2" s="509"/>
      <c r="AC2" s="509"/>
      <c r="AD2" s="509"/>
      <c r="AE2" s="512"/>
      <c r="AF2" s="512"/>
      <c r="AG2" s="512"/>
      <c r="AH2" s="512"/>
      <c r="AI2" s="512"/>
      <c r="AJ2" s="512"/>
      <c r="AK2" s="512"/>
      <c r="AL2" s="512"/>
      <c r="AM2" s="512"/>
      <c r="AN2" s="512"/>
      <c r="AO2" s="512"/>
      <c r="AP2" s="512"/>
      <c r="AQ2" s="512"/>
      <c r="AR2" s="512"/>
      <c r="AS2" s="512"/>
      <c r="AT2" s="512"/>
      <c r="AU2" s="512"/>
      <c r="AV2" s="512"/>
      <c r="AW2" s="512"/>
      <c r="AX2" s="512"/>
      <c r="AY2" s="512"/>
      <c r="AZ2" s="512"/>
      <c r="BA2" s="512"/>
      <c r="BB2" s="512"/>
      <c r="BC2" s="512"/>
      <c r="BD2" s="508"/>
      <c r="BE2" s="508"/>
    </row>
    <row r="3" spans="1:57">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2"/>
      <c r="BE3" s="2"/>
    </row>
    <row r="4" spans="1:57" s="30" customFormat="1">
      <c r="A4" s="510" t="s">
        <v>33</v>
      </c>
      <c r="B4" s="525"/>
      <c r="C4" s="525"/>
      <c r="D4" s="525"/>
      <c r="E4" s="525"/>
      <c r="F4" s="525"/>
      <c r="G4" s="525"/>
      <c r="H4" s="525"/>
      <c r="I4" s="525"/>
      <c r="J4" s="525"/>
      <c r="K4" s="525"/>
      <c r="L4" s="525"/>
      <c r="M4" s="525"/>
      <c r="N4" s="525"/>
      <c r="O4" s="525"/>
      <c r="P4" s="525"/>
      <c r="Q4" s="525"/>
      <c r="R4" s="525"/>
      <c r="S4" s="525"/>
      <c r="T4" s="525"/>
      <c r="U4" s="525"/>
      <c r="V4" s="525"/>
      <c r="W4" s="525"/>
      <c r="X4" s="525"/>
      <c r="Y4" s="525"/>
      <c r="Z4" s="525"/>
      <c r="AA4" s="525"/>
      <c r="AB4" s="525"/>
      <c r="AC4" s="525"/>
      <c r="AD4" s="525"/>
      <c r="AE4" s="526"/>
      <c r="AF4" s="526"/>
      <c r="AG4" s="526"/>
      <c r="AH4" s="526"/>
      <c r="AI4" s="526"/>
      <c r="AJ4" s="526"/>
      <c r="AK4" s="526"/>
      <c r="AL4" s="526"/>
      <c r="AM4" s="526"/>
      <c r="AN4" s="526"/>
      <c r="AO4" s="526"/>
      <c r="AP4" s="526"/>
      <c r="AQ4" s="526"/>
      <c r="AR4" s="526"/>
      <c r="AS4" s="526"/>
      <c r="AT4" s="526"/>
      <c r="AU4" s="526"/>
      <c r="AV4" s="526"/>
      <c r="AW4" s="526"/>
      <c r="AX4" s="526"/>
      <c r="AY4" s="526"/>
      <c r="AZ4" s="526"/>
      <c r="BA4" s="526"/>
      <c r="BB4" s="526"/>
      <c r="BC4" s="526"/>
      <c r="BD4" s="524"/>
      <c r="BE4" s="524"/>
    </row>
    <row r="5" spans="1:57">
      <c r="A5" s="2" t="s">
        <v>340</v>
      </c>
      <c r="B5" s="189"/>
      <c r="C5" s="189"/>
      <c r="D5" s="189"/>
      <c r="E5" s="189"/>
      <c r="F5" s="268">
        <v>2862</v>
      </c>
      <c r="G5" s="268">
        <v>2888.5</v>
      </c>
      <c r="H5" s="268">
        <v>3159.5850000000005</v>
      </c>
      <c r="I5" s="268">
        <v>3557.3999999999987</v>
      </c>
      <c r="J5" s="269">
        <v>3912.5502120000001</v>
      </c>
      <c r="K5" s="269">
        <v>4536.8770089999998</v>
      </c>
      <c r="L5" s="269">
        <v>4465.6007079999999</v>
      </c>
      <c r="M5" s="269">
        <v>4487.7197530000012</v>
      </c>
      <c r="N5" s="269">
        <v>4370.8117480000001</v>
      </c>
      <c r="O5" s="269">
        <v>3893.343809</v>
      </c>
      <c r="P5" s="269">
        <v>3788.080820000001</v>
      </c>
      <c r="Q5" s="269">
        <v>3706.2823839999983</v>
      </c>
      <c r="R5" s="269">
        <v>3885.6957130000001</v>
      </c>
      <c r="S5" s="269">
        <v>4045.421343</v>
      </c>
      <c r="T5" s="269">
        <v>4134.8333569999986</v>
      </c>
      <c r="U5" s="269">
        <v>4387.867322000001</v>
      </c>
      <c r="V5" s="269">
        <v>4142.901973</v>
      </c>
      <c r="W5" s="269">
        <v>4169.3683122689999</v>
      </c>
      <c r="X5" s="269">
        <v>2453.8504955349963</v>
      </c>
      <c r="Y5" s="269">
        <v>976.59419986299872</v>
      </c>
      <c r="Z5" s="269">
        <v>971.71580549400005</v>
      </c>
      <c r="AA5" s="269">
        <v>1028</v>
      </c>
      <c r="AB5" s="269">
        <v>1012.5216980590003</v>
      </c>
      <c r="AC5" s="269">
        <v>1033.1084359860001</v>
      </c>
      <c r="AD5" s="269">
        <v>1060.3252391279998</v>
      </c>
      <c r="AE5" s="269">
        <v>1122</v>
      </c>
      <c r="AF5" s="269">
        <v>1130.0029552169999</v>
      </c>
      <c r="AG5" s="269">
        <v>1124.2615708570015</v>
      </c>
      <c r="AH5" s="269">
        <v>1089</v>
      </c>
      <c r="AI5" s="269">
        <v>1106</v>
      </c>
      <c r="AJ5" s="269">
        <v>1154.7463531619999</v>
      </c>
      <c r="AK5" s="269">
        <v>1203.096119242002</v>
      </c>
      <c r="AL5" s="269">
        <v>1087.516621645</v>
      </c>
      <c r="AM5" s="269">
        <v>1116.3075473180004</v>
      </c>
      <c r="AN5" s="269">
        <v>1060.6138277099997</v>
      </c>
      <c r="AO5" s="269">
        <v>982.30751476899945</v>
      </c>
      <c r="AP5" s="269">
        <v>951.57582377999995</v>
      </c>
      <c r="AQ5" s="269">
        <v>957.85773911400031</v>
      </c>
      <c r="AR5" s="269">
        <v>975.48070332999885</v>
      </c>
      <c r="AS5" s="269">
        <v>984</v>
      </c>
      <c r="AT5" s="269">
        <v>666.88710738999998</v>
      </c>
      <c r="AU5" s="269">
        <v>694.67411558499884</v>
      </c>
      <c r="AV5" s="269">
        <v>776.55100861300139</v>
      </c>
      <c r="AW5" s="269">
        <v>805.59233178499903</v>
      </c>
      <c r="AX5" s="269">
        <v>933.71615324100003</v>
      </c>
      <c r="AY5" s="269">
        <v>932.81413617399994</v>
      </c>
      <c r="AZ5" s="269">
        <v>945.2344450999999</v>
      </c>
      <c r="BA5" s="269">
        <v>961.3448814100002</v>
      </c>
      <c r="BB5" s="269">
        <v>940.75</v>
      </c>
      <c r="BC5" s="269"/>
      <c r="BD5" s="104"/>
      <c r="BE5" s="209"/>
    </row>
    <row r="6" spans="1:57">
      <c r="A6" s="2" t="s">
        <v>341</v>
      </c>
      <c r="B6" s="189"/>
      <c r="C6" s="189"/>
      <c r="D6" s="189"/>
      <c r="E6" s="189"/>
      <c r="F6" s="268"/>
      <c r="G6" s="268"/>
      <c r="H6" s="268"/>
      <c r="I6" s="268"/>
      <c r="J6" s="269">
        <v>3232</v>
      </c>
      <c r="K6" s="269">
        <v>3668.2</v>
      </c>
      <c r="L6" s="269">
        <v>3596.1</v>
      </c>
      <c r="M6" s="269">
        <v>3623.2</v>
      </c>
      <c r="N6" s="269">
        <v>3568.1</v>
      </c>
      <c r="O6" s="269">
        <v>3312.1</v>
      </c>
      <c r="P6" s="269">
        <v>3166.1</v>
      </c>
      <c r="Q6" s="269">
        <v>3060.5</v>
      </c>
      <c r="R6" s="269">
        <v>3182.3</v>
      </c>
      <c r="S6" s="269">
        <v>3323.5</v>
      </c>
      <c r="T6" s="269">
        <v>3334.7</v>
      </c>
      <c r="U6" s="269">
        <v>3662.8</v>
      </c>
      <c r="V6" s="269">
        <v>3468.2</v>
      </c>
      <c r="W6" s="269">
        <v>3496.8</v>
      </c>
      <c r="X6" s="269">
        <v>2072.8000000000002</v>
      </c>
      <c r="Y6" s="269">
        <v>862.1</v>
      </c>
      <c r="Z6" s="269">
        <v>856.8</v>
      </c>
      <c r="AA6" s="269">
        <v>889</v>
      </c>
      <c r="AB6" s="269">
        <v>906.1</v>
      </c>
      <c r="AC6" s="269">
        <v>931.9</v>
      </c>
      <c r="AD6" s="269">
        <v>946.2</v>
      </c>
      <c r="AE6" s="269">
        <v>1008</v>
      </c>
      <c r="AF6" s="269">
        <v>983.4</v>
      </c>
      <c r="AG6" s="269">
        <v>979</v>
      </c>
      <c r="AH6" s="269">
        <v>794</v>
      </c>
      <c r="AI6" s="269">
        <v>810</v>
      </c>
      <c r="AJ6" s="269">
        <v>849.08688891799989</v>
      </c>
      <c r="AK6" s="269">
        <v>893.65612386200019</v>
      </c>
      <c r="AL6" s="269">
        <v>784.17514456799995</v>
      </c>
      <c r="AM6" s="269">
        <v>818.34489022100001</v>
      </c>
      <c r="AN6" s="269">
        <v>774.32149981099997</v>
      </c>
      <c r="AO6" s="269">
        <v>700.54165644900002</v>
      </c>
      <c r="AP6" s="269">
        <v>660.72327564700004</v>
      </c>
      <c r="AQ6" s="269">
        <v>656.96488864599996</v>
      </c>
      <c r="AR6" s="269">
        <v>647.75843782700008</v>
      </c>
      <c r="AS6" s="269">
        <v>653</v>
      </c>
      <c r="AT6" s="269">
        <v>455.89944352800001</v>
      </c>
      <c r="AU6" s="269">
        <v>488.00338974400006</v>
      </c>
      <c r="AV6" s="269">
        <v>562.52899362800008</v>
      </c>
      <c r="AW6" s="269">
        <v>586.16971287000001</v>
      </c>
      <c r="AX6" s="269">
        <v>687.69808077500011</v>
      </c>
      <c r="AY6" s="269">
        <v>671.03329685600011</v>
      </c>
      <c r="AZ6" s="269">
        <v>692.46770857899992</v>
      </c>
      <c r="BA6" s="269">
        <v>693.65509154699998</v>
      </c>
      <c r="BB6" s="269">
        <v>678.8</v>
      </c>
      <c r="BC6" s="269"/>
      <c r="BD6" s="2"/>
      <c r="BE6" s="13"/>
    </row>
    <row r="7" spans="1:57">
      <c r="A7" s="2" t="s">
        <v>37</v>
      </c>
      <c r="B7" s="189"/>
      <c r="C7" s="189"/>
      <c r="D7" s="189"/>
      <c r="E7" s="189"/>
      <c r="F7" s="268">
        <v>-432</v>
      </c>
      <c r="G7" s="268">
        <v>-381.5</v>
      </c>
      <c r="H7" s="268">
        <v>-110</v>
      </c>
      <c r="I7" s="268">
        <v>-11</v>
      </c>
      <c r="J7" s="269">
        <v>164.12319100000033</v>
      </c>
      <c r="K7" s="269">
        <v>263.66125399999953</v>
      </c>
      <c r="L7" s="269">
        <v>313.06902899999943</v>
      </c>
      <c r="M7" s="269">
        <v>295.5549890000043</v>
      </c>
      <c r="N7" s="269">
        <v>233.40401799999935</v>
      </c>
      <c r="O7" s="269">
        <v>107.29849800000071</v>
      </c>
      <c r="P7" s="269">
        <v>-270.74933699999661</v>
      </c>
      <c r="Q7" s="269">
        <v>-265.6871690000047</v>
      </c>
      <c r="R7" s="269">
        <v>-475.53604100000013</v>
      </c>
      <c r="S7" s="269">
        <v>-241.94401799999986</v>
      </c>
      <c r="T7" s="269">
        <v>-370.655717000001</v>
      </c>
      <c r="U7" s="269">
        <v>287.48812300000054</v>
      </c>
      <c r="V7" s="269">
        <v>-25.817163999999593</v>
      </c>
      <c r="W7" s="269">
        <v>209.74431267199998</v>
      </c>
      <c r="X7" s="269">
        <v>161.58074008299582</v>
      </c>
      <c r="Y7" s="269">
        <v>-107.9901743820011</v>
      </c>
      <c r="Z7" s="269">
        <v>-62.24993106799991</v>
      </c>
      <c r="AA7" s="269">
        <v>-15</v>
      </c>
      <c r="AB7" s="269">
        <v>18.144777342000225</v>
      </c>
      <c r="AC7" s="269">
        <v>66.918624851000232</v>
      </c>
      <c r="AD7" s="269">
        <v>9.994731799999613</v>
      </c>
      <c r="AE7" s="269">
        <v>30</v>
      </c>
      <c r="AF7" s="269">
        <v>41.809687695999855</v>
      </c>
      <c r="AG7" s="269">
        <v>44.628641189001655</v>
      </c>
      <c r="AH7" s="269">
        <v>92</v>
      </c>
      <c r="AI7" s="269">
        <v>84</v>
      </c>
      <c r="AJ7" s="269">
        <v>106.05340315399951</v>
      </c>
      <c r="AK7" s="269">
        <v>146.96209258700219</v>
      </c>
      <c r="AL7" s="269">
        <v>98.239024370000038</v>
      </c>
      <c r="AM7" s="269">
        <v>116.03673861700031</v>
      </c>
      <c r="AN7" s="269">
        <v>38.822074347999546</v>
      </c>
      <c r="AO7" s="269">
        <v>-121.6531217290003</v>
      </c>
      <c r="AP7" s="269">
        <v>-110.69604768600004</v>
      </c>
      <c r="AQ7" s="269">
        <v>-141.33020668699976</v>
      </c>
      <c r="AR7" s="269">
        <v>-208.7894512840013</v>
      </c>
      <c r="AS7" s="269">
        <v>-160</v>
      </c>
      <c r="AT7" s="269">
        <v>-108.08195985200007</v>
      </c>
      <c r="AU7" s="269">
        <v>-140.71367471700103</v>
      </c>
      <c r="AV7" s="269">
        <v>-131.09308721799846</v>
      </c>
      <c r="AW7" s="269">
        <v>-138.39178903500101</v>
      </c>
      <c r="AX7" s="269">
        <v>-112.41179045599984</v>
      </c>
      <c r="AY7" s="269">
        <v>-119.8444728290001</v>
      </c>
      <c r="AZ7" s="269">
        <v>-151.0451155640003</v>
      </c>
      <c r="BA7" s="269">
        <v>-265.49376133099986</v>
      </c>
      <c r="BB7" s="269">
        <v>-166.15</v>
      </c>
      <c r="BC7" s="269"/>
      <c r="BD7" s="2"/>
      <c r="BE7" s="13"/>
    </row>
    <row r="8" spans="1:57">
      <c r="A8" s="2" t="s">
        <v>342</v>
      </c>
      <c r="B8" s="189"/>
      <c r="C8" s="189"/>
      <c r="D8" s="189"/>
      <c r="E8" s="189"/>
      <c r="F8" s="268"/>
      <c r="G8" s="268"/>
      <c r="H8" s="268"/>
      <c r="I8" s="268"/>
      <c r="J8" s="279">
        <v>4.1947881076804014E-2</v>
      </c>
      <c r="K8" s="279">
        <v>5.8115142525786631E-2</v>
      </c>
      <c r="L8" s="279">
        <v>7.0106811932187527E-2</v>
      </c>
      <c r="M8" s="279">
        <v>6.5858610890849045E-2</v>
      </c>
      <c r="N8" s="279">
        <v>5.3400611020779053E-2</v>
      </c>
      <c r="O8" s="279">
        <v>2.7559471565795308E-2</v>
      </c>
      <c r="P8" s="279">
        <v>-7.1474012795745084E-2</v>
      </c>
      <c r="Q8" s="279">
        <v>-7.1685624966671413E-2</v>
      </c>
      <c r="R8" s="279">
        <v>-0.12238118373732784</v>
      </c>
      <c r="S8" s="279">
        <v>-5.9806877327783912E-2</v>
      </c>
      <c r="T8" s="279">
        <v>-8.9642238271224514E-2</v>
      </c>
      <c r="U8" s="279">
        <v>6.5518873270981839E-2</v>
      </c>
      <c r="V8" s="279">
        <v>-6.2316618081370168E-3</v>
      </c>
      <c r="W8" s="279">
        <v>5.0306016874257779E-2</v>
      </c>
      <c r="X8" s="279">
        <v>6.5847833996817096E-2</v>
      </c>
      <c r="Y8" s="279">
        <v>-0.11057834912100695</v>
      </c>
      <c r="Z8" s="279">
        <v>-6.4061869443765337E-2</v>
      </c>
      <c r="AA8" s="279">
        <f>AA7/AA5</f>
        <v>-1.4591439688715954E-2</v>
      </c>
      <c r="AB8" s="279">
        <v>1.7920383708105895E-2</v>
      </c>
      <c r="AC8" s="279">
        <v>6.4774057127055598E-2</v>
      </c>
      <c r="AD8" s="279">
        <v>9.4261000598450089E-3</v>
      </c>
      <c r="AE8" s="279">
        <v>2.7E-2</v>
      </c>
      <c r="AF8" s="279">
        <v>3.6999626862012004E-2</v>
      </c>
      <c r="AG8" s="279">
        <v>3.9695958970635416E-2</v>
      </c>
      <c r="AH8" s="279">
        <v>8.4628431975138849E-2</v>
      </c>
      <c r="AI8" s="279">
        <v>7.5999999999999998E-2</v>
      </c>
      <c r="AJ8" s="279">
        <v>9.1841297323518145E-2</v>
      </c>
      <c r="AK8" s="279">
        <v>0.12215324298410513</v>
      </c>
      <c r="AL8" s="279">
        <v>9.0333354373381136E-2</v>
      </c>
      <c r="AM8" s="279">
        <v>0.10394692653990016</v>
      </c>
      <c r="AN8" s="279">
        <v>3.6603402042967276E-2</v>
      </c>
      <c r="AO8" s="279">
        <v>-0.12384423401016981</v>
      </c>
      <c r="AP8" s="279">
        <v>-0.11632919302875487</v>
      </c>
      <c r="AQ8" s="279">
        <v>-0.14754822236726661</v>
      </c>
      <c r="AR8" s="279">
        <v>-0.21403750025116505</v>
      </c>
      <c r="AS8" s="279">
        <v>-0.16300000000000001</v>
      </c>
      <c r="AT8" s="279">
        <v>-0.16206934975096621</v>
      </c>
      <c r="AU8" s="279">
        <v>-0.2025606994129949</v>
      </c>
      <c r="AV8" s="279">
        <v>-0.16881452185883317</v>
      </c>
      <c r="AW8" s="279">
        <v>-0.17178886090978307</v>
      </c>
      <c r="AX8" s="279">
        <v>-0.12039182364555859</v>
      </c>
      <c r="AY8" s="279">
        <v>-0.12847626143462007</v>
      </c>
      <c r="AZ8" s="279">
        <v>-0.15979645721440111</v>
      </c>
      <c r="BA8" s="279">
        <v>-0.27616911107031783</v>
      </c>
      <c r="BB8" s="279">
        <v>-0.17661440340154133</v>
      </c>
      <c r="BC8" s="279"/>
      <c r="BD8" s="2"/>
      <c r="BE8" s="13"/>
    </row>
    <row r="9" spans="1:57">
      <c r="A9" s="2" t="s">
        <v>38</v>
      </c>
      <c r="B9" s="189"/>
      <c r="C9" s="189"/>
      <c r="D9" s="189"/>
      <c r="E9" s="189"/>
      <c r="F9" s="268">
        <v>-1404</v>
      </c>
      <c r="G9" s="268">
        <v>-1362.5</v>
      </c>
      <c r="H9" s="268">
        <v>-1210</v>
      </c>
      <c r="I9" s="268">
        <v>-1155</v>
      </c>
      <c r="J9" s="269">
        <v>-1008.3102959999994</v>
      </c>
      <c r="K9" s="269">
        <v>-1051.0540640000015</v>
      </c>
      <c r="L9" s="269">
        <v>-1128.7481980000005</v>
      </c>
      <c r="M9" s="269">
        <v>-1082.9781259999957</v>
      </c>
      <c r="N9" s="269">
        <v>-1075.5886620000006</v>
      </c>
      <c r="O9" s="269">
        <v>-1340.7841160000007</v>
      </c>
      <c r="P9" s="269">
        <v>-1782.2007899999958</v>
      </c>
      <c r="Q9" s="269">
        <v>-1939.6844390000037</v>
      </c>
      <c r="R9" s="269">
        <v>-1829.0194840000004</v>
      </c>
      <c r="S9" s="269">
        <v>-1612.1588280000005</v>
      </c>
      <c r="T9" s="269">
        <v>-1868.0253770000008</v>
      </c>
      <c r="U9" s="269">
        <v>-1084.7326649999991</v>
      </c>
      <c r="V9" s="269">
        <v>-1579.7125889999995</v>
      </c>
      <c r="W9" s="269">
        <v>-1271.2185843890002</v>
      </c>
      <c r="X9" s="269">
        <v>-751.24695127300424</v>
      </c>
      <c r="Y9" s="269">
        <v>-415.95903485700114</v>
      </c>
      <c r="Z9" s="269">
        <v>-365.81294206899992</v>
      </c>
      <c r="AA9" s="269">
        <v>-334</v>
      </c>
      <c r="AB9" s="269">
        <v>-296.73937819699972</v>
      </c>
      <c r="AC9" s="269">
        <v>-271.6255297809999</v>
      </c>
      <c r="AD9" s="269">
        <v>-330.83106676900036</v>
      </c>
      <c r="AE9" s="269">
        <v>-271</v>
      </c>
      <c r="AF9" s="269">
        <v>-247.65393078700026</v>
      </c>
      <c r="AG9" s="269">
        <v>-220.02572235899828</v>
      </c>
      <c r="AH9" s="269">
        <v>-259.93084836000003</v>
      </c>
      <c r="AI9" s="269">
        <v>-277</v>
      </c>
      <c r="AJ9" s="269">
        <v>-301.20825208600024</v>
      </c>
      <c r="AK9" s="269">
        <v>-216.84884049799791</v>
      </c>
      <c r="AL9" s="269">
        <v>-280.16558667499999</v>
      </c>
      <c r="AM9" s="269">
        <v>-239.62640544799962</v>
      </c>
      <c r="AN9" s="269">
        <v>-322.30566137200049</v>
      </c>
      <c r="AO9" s="269">
        <v>-478.8448839470002</v>
      </c>
      <c r="AP9" s="269">
        <v>-517.79877908100002</v>
      </c>
      <c r="AQ9" s="269">
        <v>-590.19862613699979</v>
      </c>
      <c r="AR9" s="269">
        <v>-686.61583334200145</v>
      </c>
      <c r="AS9" s="269">
        <v>-627</v>
      </c>
      <c r="AT9" s="269">
        <v>-398.15410065800006</v>
      </c>
      <c r="AU9" s="269">
        <v>-452.14251919000105</v>
      </c>
      <c r="AV9" s="269">
        <v>-446.79962575199852</v>
      </c>
      <c r="AW9" s="269">
        <v>-485.17333475600105</v>
      </c>
      <c r="AX9" s="269">
        <v>-483.03605770799987</v>
      </c>
      <c r="AY9" s="269">
        <v>-507.9354291520001</v>
      </c>
      <c r="AZ9" s="269">
        <v>-645.45046852300004</v>
      </c>
      <c r="BA9" s="269">
        <v>-621.57201805799991</v>
      </c>
      <c r="BB9" s="269">
        <v>-502</v>
      </c>
      <c r="BC9" s="269"/>
      <c r="BD9" s="2"/>
      <c r="BE9" s="13"/>
    </row>
    <row r="10" spans="1:57">
      <c r="A10" s="2" t="s">
        <v>343</v>
      </c>
      <c r="B10" s="189"/>
      <c r="C10" s="189"/>
      <c r="D10" s="189"/>
      <c r="E10" s="189"/>
      <c r="F10" s="268"/>
      <c r="G10" s="268"/>
      <c r="H10" s="268"/>
      <c r="I10" s="268"/>
      <c r="J10" s="269">
        <v>-1280.9422629999995</v>
      </c>
      <c r="K10" s="269">
        <v>-1312.1622140000013</v>
      </c>
      <c r="L10" s="269">
        <v>-1693.9538450000009</v>
      </c>
      <c r="M10" s="269">
        <v>-1688.902699999996</v>
      </c>
      <c r="N10" s="269">
        <v>-1650.0902280000005</v>
      </c>
      <c r="O10" s="269">
        <v>-1530.5752080000007</v>
      </c>
      <c r="P10" s="269">
        <v>-2536.2830859999963</v>
      </c>
      <c r="Q10" s="269">
        <v>-2706.8325070000051</v>
      </c>
      <c r="R10" s="269">
        <v>-2337.8811350000005</v>
      </c>
      <c r="S10" s="269">
        <v>-2487.7169070000009</v>
      </c>
      <c r="T10" s="269">
        <v>-2807.8172115952825</v>
      </c>
      <c r="U10" s="269">
        <v>-2015.3955312435585</v>
      </c>
      <c r="V10" s="269">
        <v>-2422.6688645461691</v>
      </c>
      <c r="W10" s="269">
        <v>-2212.0663007053245</v>
      </c>
      <c r="X10" s="269">
        <v>-1466.4779489271448</v>
      </c>
      <c r="Y10" s="269">
        <v>-675.36297928623685</v>
      </c>
      <c r="Z10" s="269">
        <v>-595.505199246036</v>
      </c>
      <c r="AA10" s="269">
        <v>-511</v>
      </c>
      <c r="AB10" s="269">
        <v>-485.38668594699965</v>
      </c>
      <c r="AC10" s="269">
        <v>-380.62314214899993</v>
      </c>
      <c r="AD10" s="269">
        <v>-415.20457658300035</v>
      </c>
      <c r="AE10" s="269">
        <v>-460</v>
      </c>
      <c r="AF10" s="269">
        <v>-505.5213701800003</v>
      </c>
      <c r="AG10" s="269">
        <v>-217.89846342999834</v>
      </c>
      <c r="AH10" s="269">
        <v>-417.85943925200002</v>
      </c>
      <c r="AI10" s="269">
        <v>-489</v>
      </c>
      <c r="AJ10" s="269">
        <v>-474.97504865200023</v>
      </c>
      <c r="AK10" s="269">
        <v>-495.046602044998</v>
      </c>
      <c r="AL10" s="269">
        <v>-369.262640089</v>
      </c>
      <c r="AM10" s="269">
        <v>-343.00985294999953</v>
      </c>
      <c r="AN10" s="269">
        <v>-468.34487176700048</v>
      </c>
      <c r="AO10" s="269">
        <v>-993.6878505210002</v>
      </c>
      <c r="AP10" s="269">
        <v>-537.04958502200009</v>
      </c>
      <c r="AQ10" s="269">
        <v>-529.97394170099972</v>
      </c>
      <c r="AR10" s="269">
        <v>-920.1431640800015</v>
      </c>
      <c r="AS10" s="269">
        <v>-5525</v>
      </c>
      <c r="AT10" s="269">
        <v>-3065.4931405859998</v>
      </c>
      <c r="AU10" s="269">
        <v>-830.09239837200153</v>
      </c>
      <c r="AV10" s="269">
        <v>-575.30691104599737</v>
      </c>
      <c r="AW10" s="269">
        <v>1429.3036137619979</v>
      </c>
      <c r="AX10" s="269">
        <v>358.27865224400028</v>
      </c>
      <c r="AY10" s="269">
        <v>-1670.2387640120003</v>
      </c>
      <c r="AZ10" s="269">
        <v>-754.87823778099994</v>
      </c>
      <c r="BA10" s="269">
        <v>669.21227282300038</v>
      </c>
      <c r="BB10" s="269">
        <v>-853</v>
      </c>
      <c r="BC10" s="269"/>
      <c r="BD10" s="2"/>
      <c r="BE10" s="13"/>
    </row>
    <row r="11" spans="1:57">
      <c r="A11" s="2" t="s">
        <v>344</v>
      </c>
      <c r="B11" s="189"/>
      <c r="C11" s="189"/>
      <c r="D11" s="189"/>
      <c r="E11" s="189"/>
      <c r="F11" s="268"/>
      <c r="G11" s="268"/>
      <c r="H11" s="268"/>
      <c r="I11" s="268"/>
      <c r="J11" s="269">
        <v>-1074.5809689999996</v>
      </c>
      <c r="K11" s="269">
        <v>-1330.1736730000007</v>
      </c>
      <c r="L11" s="269">
        <v>-1711.2240520000018</v>
      </c>
      <c r="M11" s="269">
        <v>-1706.1194989999963</v>
      </c>
      <c r="N11" s="269">
        <v>-1633.2411790000006</v>
      </c>
      <c r="O11" s="269">
        <v>-1539.4287430000004</v>
      </c>
      <c r="P11" s="269">
        <v>-2544.5212369999963</v>
      </c>
      <c r="Q11" s="269">
        <v>-2714.751726000005</v>
      </c>
      <c r="R11" s="269">
        <v>-2345.8879200000006</v>
      </c>
      <c r="S11" s="269">
        <v>-2497.6690160000012</v>
      </c>
      <c r="T11" s="269">
        <v>-2861.0013185952826</v>
      </c>
      <c r="U11" s="269">
        <v>-2028.0314802435585</v>
      </c>
      <c r="V11" s="269">
        <v>-2510.0481045461693</v>
      </c>
      <c r="W11" s="269">
        <v>-2239.6972566413247</v>
      </c>
      <c r="X11" s="269">
        <v>-1482.5400134811448</v>
      </c>
      <c r="Y11" s="269">
        <v>-680.43101034523681</v>
      </c>
      <c r="Z11" s="269">
        <v>-600.54919635103602</v>
      </c>
      <c r="AA11" s="269">
        <v>-517</v>
      </c>
      <c r="AB11" s="269">
        <v>-490.57007751999964</v>
      </c>
      <c r="AC11" s="269">
        <v>-385.67155628899991</v>
      </c>
      <c r="AD11" s="269">
        <v>-420.62686535300037</v>
      </c>
      <c r="AE11" s="269">
        <v>-466</v>
      </c>
      <c r="AF11" s="269">
        <v>-511</v>
      </c>
      <c r="AG11" s="269">
        <v>-224</v>
      </c>
      <c r="AH11" s="269">
        <v>5.5631145259999997</v>
      </c>
      <c r="AI11" s="269">
        <v>-494</v>
      </c>
      <c r="AJ11" s="269">
        <v>-481</v>
      </c>
      <c r="AK11" s="269">
        <v>-494.73470260099799</v>
      </c>
      <c r="AL11" s="269">
        <v>-369.262640089</v>
      </c>
      <c r="AM11" s="269">
        <v>-343.00985294999953</v>
      </c>
      <c r="AN11" s="269">
        <v>-468.34487176700048</v>
      </c>
      <c r="AO11" s="269">
        <v>-993.6878505210002</v>
      </c>
      <c r="AP11" s="269">
        <v>-537.04958502200009</v>
      </c>
      <c r="AQ11" s="269">
        <v>-529.97394170099972</v>
      </c>
      <c r="AR11" s="269">
        <v>-920.1431640800015</v>
      </c>
      <c r="AS11" s="269">
        <v>-5525</v>
      </c>
      <c r="AT11" s="269">
        <v>-3065.4931405859998</v>
      </c>
      <c r="AU11" s="269">
        <v>-830.09239837200153</v>
      </c>
      <c r="AV11" s="269">
        <v>-575.30691104599737</v>
      </c>
      <c r="AW11" s="269">
        <v>1429.3036137619979</v>
      </c>
      <c r="AX11" s="269">
        <v>358.27865224400028</v>
      </c>
      <c r="AY11" s="269">
        <v>-1670.2387640120003</v>
      </c>
      <c r="AZ11" s="269">
        <v>-754.87823778099994</v>
      </c>
      <c r="BA11" s="269">
        <v>669.21227282300038</v>
      </c>
      <c r="BB11" s="269">
        <v>-853</v>
      </c>
      <c r="BC11" s="269"/>
      <c r="BD11" s="2"/>
      <c r="BE11" s="13"/>
    </row>
    <row r="12" spans="1:57">
      <c r="A12" s="2" t="s">
        <v>39</v>
      </c>
      <c r="B12" s="189"/>
      <c r="C12" s="189"/>
      <c r="D12" s="189"/>
      <c r="E12" s="189"/>
      <c r="F12" s="268">
        <v>1944</v>
      </c>
      <c r="G12" s="268">
        <v>1253.5</v>
      </c>
      <c r="H12" s="268">
        <v>1100</v>
      </c>
      <c r="I12" s="268">
        <v>1100</v>
      </c>
      <c r="J12" s="269">
        <v>922.50564600000007</v>
      </c>
      <c r="K12" s="269">
        <v>1322.5467280000003</v>
      </c>
      <c r="L12" s="269">
        <v>2117.0510800000002</v>
      </c>
      <c r="M12" s="269">
        <v>2097.8082870000007</v>
      </c>
      <c r="N12" s="269">
        <v>815.10957600000006</v>
      </c>
      <c r="O12" s="269">
        <v>661.2002030000001</v>
      </c>
      <c r="P12" s="269">
        <v>427.02323199999978</v>
      </c>
      <c r="Q12" s="269">
        <v>1330.0441500000004</v>
      </c>
      <c r="R12" s="269">
        <v>992.23521200000005</v>
      </c>
      <c r="S12" s="269">
        <v>1316.9507019999996</v>
      </c>
      <c r="T12" s="269">
        <v>546.74132300000019</v>
      </c>
      <c r="U12" s="269">
        <v>464.96431699999948</v>
      </c>
      <c r="V12" s="269">
        <v>530.7239340000001</v>
      </c>
      <c r="W12" s="269">
        <v>290.00592322200004</v>
      </c>
      <c r="X12" s="269">
        <v>456.93767456600023</v>
      </c>
      <c r="Y12" s="269">
        <v>552.34238154499974</v>
      </c>
      <c r="Z12" s="269">
        <v>278.44516050499999</v>
      </c>
      <c r="AA12" s="269">
        <v>267</v>
      </c>
      <c r="AB12" s="269">
        <v>388.61781918200006</v>
      </c>
      <c r="AC12" s="269">
        <v>300.6469086809999</v>
      </c>
      <c r="AD12" s="269">
        <v>207.92499294700002</v>
      </c>
      <c r="AE12" s="269">
        <v>423</v>
      </c>
      <c r="AF12" s="269">
        <v>389.4</v>
      </c>
      <c r="AG12" s="269">
        <v>163.9</v>
      </c>
      <c r="AH12" s="269">
        <v>-423.42255377800001</v>
      </c>
      <c r="AI12" s="269">
        <v>107</v>
      </c>
      <c r="AJ12" s="269">
        <v>331.1</v>
      </c>
      <c r="AK12" s="269">
        <v>268.95894654599988</v>
      </c>
      <c r="AL12" s="269">
        <v>334.38177243299998</v>
      </c>
      <c r="AM12" s="269">
        <v>857.85295007199989</v>
      </c>
      <c r="AN12" s="269">
        <v>900.93192579100059</v>
      </c>
      <c r="AO12" s="269">
        <v>1593.3323672490001</v>
      </c>
      <c r="AP12" s="269">
        <v>978.07902759300032</v>
      </c>
      <c r="AQ12" s="269">
        <v>1414.1546385279994</v>
      </c>
      <c r="AR12" s="269">
        <v>511.99231765299965</v>
      </c>
      <c r="AS12" s="269">
        <v>388</v>
      </c>
      <c r="AT12" s="269">
        <v>221.40233731599997</v>
      </c>
      <c r="AU12" s="269">
        <v>130.06296254399999</v>
      </c>
      <c r="AV12" s="269">
        <v>104.35629280400008</v>
      </c>
      <c r="AW12" s="269">
        <v>523.37970581700006</v>
      </c>
      <c r="AX12" s="269">
        <v>87.261233101999977</v>
      </c>
      <c r="AY12" s="269">
        <v>89.64482546800005</v>
      </c>
      <c r="AZ12" s="269">
        <v>31.601281729999982</v>
      </c>
      <c r="BA12" s="269">
        <v>58.610977185000081</v>
      </c>
      <c r="BB12" s="269">
        <v>3.9371399999995447</v>
      </c>
      <c r="BC12" s="269"/>
      <c r="BD12" s="2"/>
      <c r="BE12" s="13"/>
    </row>
    <row r="13" spans="1:57">
      <c r="A13" s="2" t="s">
        <v>345</v>
      </c>
      <c r="B13" s="189"/>
      <c r="C13" s="189"/>
      <c r="D13" s="189"/>
      <c r="E13" s="189"/>
      <c r="F13" s="268"/>
      <c r="G13" s="268"/>
      <c r="H13" s="268"/>
      <c r="I13" s="268"/>
      <c r="J13" s="269">
        <v>-758.38245499999971</v>
      </c>
      <c r="K13" s="269">
        <v>-1058.8854740000006</v>
      </c>
      <c r="L13" s="269">
        <v>-1803.9820510000009</v>
      </c>
      <c r="M13" s="269">
        <v>-1802.2532979999964</v>
      </c>
      <c r="N13" s="269">
        <v>-581.70555800000068</v>
      </c>
      <c r="O13" s="269">
        <v>-553.90170499999942</v>
      </c>
      <c r="P13" s="269">
        <v>-697.77256899999634</v>
      </c>
      <c r="Q13" s="269">
        <v>-1595.731319000005</v>
      </c>
      <c r="R13" s="269">
        <v>-1467.7712530000001</v>
      </c>
      <c r="S13" s="269">
        <v>-1558.8947199999996</v>
      </c>
      <c r="T13" s="269">
        <v>-917.3970400000012</v>
      </c>
      <c r="U13" s="269">
        <v>-177.47619399999894</v>
      </c>
      <c r="V13" s="269">
        <v>-556.54109799999969</v>
      </c>
      <c r="W13" s="269">
        <v>-80.261610550000057</v>
      </c>
      <c r="X13" s="269">
        <v>-295.35693448300441</v>
      </c>
      <c r="Y13" s="269">
        <v>-660.33255592700084</v>
      </c>
      <c r="Z13" s="269">
        <v>-340.6950915729999</v>
      </c>
      <c r="AA13" s="269">
        <v>-282</v>
      </c>
      <c r="AB13" s="269">
        <v>-370.47304183999984</v>
      </c>
      <c r="AC13" s="269">
        <v>-233.72828382999967</v>
      </c>
      <c r="AD13" s="269">
        <v>-197.93026114700041</v>
      </c>
      <c r="AE13" s="269">
        <v>-393</v>
      </c>
      <c r="AF13" s="266">
        <v>-348</v>
      </c>
      <c r="AG13" s="266">
        <v>-119.3</v>
      </c>
      <c r="AH13" s="266">
        <v>-226.32427901299991</v>
      </c>
      <c r="AI13" s="266">
        <v>-22</v>
      </c>
      <c r="AJ13" s="266">
        <v>-225</v>
      </c>
      <c r="AK13" s="266">
        <v>-121.99685395899769</v>
      </c>
      <c r="AL13" s="266">
        <v>-236.14274806299994</v>
      </c>
      <c r="AM13" s="266">
        <v>-741.81621145499957</v>
      </c>
      <c r="AN13" s="266">
        <v>-862.10985144300105</v>
      </c>
      <c r="AO13" s="266">
        <v>-1714.9854889780004</v>
      </c>
      <c r="AP13" s="266">
        <v>-1088.7750752790002</v>
      </c>
      <c r="AQ13" s="266">
        <v>-1555.484845214999</v>
      </c>
      <c r="AR13" s="266">
        <v>-720.78176893700095</v>
      </c>
      <c r="AS13" s="266">
        <v>-548</v>
      </c>
      <c r="AT13" s="266">
        <v>-329.48429716800001</v>
      </c>
      <c r="AU13" s="266">
        <v>-270.77663726100104</v>
      </c>
      <c r="AV13" s="266">
        <v>-235.44938002199854</v>
      </c>
      <c r="AW13" s="266">
        <v>-661.77149485200107</v>
      </c>
      <c r="AX13" s="266">
        <v>-199.67302355799981</v>
      </c>
      <c r="AY13" s="266">
        <v>-209.48929829700015</v>
      </c>
      <c r="AZ13" s="266">
        <v>-182.64639729400028</v>
      </c>
      <c r="BA13" s="266">
        <v>-324.10473851599994</v>
      </c>
      <c r="BB13" s="266">
        <v>-170.08713999999955</v>
      </c>
      <c r="BC13" s="266"/>
      <c r="BD13" s="2"/>
      <c r="BE13" s="13"/>
    </row>
    <row r="14" spans="1:57">
      <c r="A14" s="2" t="s">
        <v>346</v>
      </c>
      <c r="B14" s="189"/>
      <c r="C14" s="189"/>
      <c r="D14" s="189"/>
      <c r="E14" s="189"/>
      <c r="F14" s="268"/>
      <c r="G14" s="268"/>
      <c r="H14" s="268"/>
      <c r="I14" s="268"/>
      <c r="J14" s="269">
        <v>50343.229300916042</v>
      </c>
      <c r="K14" s="269">
        <v>61668.833961999997</v>
      </c>
      <c r="L14" s="269">
        <v>62836.075889</v>
      </c>
      <c r="M14" s="269">
        <v>62705.055751</v>
      </c>
      <c r="N14" s="269">
        <v>63065.656696999999</v>
      </c>
      <c r="O14" s="269">
        <v>65882.926126999999</v>
      </c>
      <c r="P14" s="269">
        <v>67758.159335000004</v>
      </c>
      <c r="Q14" s="269">
        <v>67825.456983000011</v>
      </c>
      <c r="R14" s="269">
        <v>70240.510658999992</v>
      </c>
      <c r="S14" s="269">
        <v>73311.103619000001</v>
      </c>
      <c r="T14" s="269">
        <v>73672.690345999988</v>
      </c>
      <c r="U14" s="269">
        <v>74002.766420999993</v>
      </c>
      <c r="V14" s="269">
        <v>76037.626928000012</v>
      </c>
      <c r="W14" s="269">
        <v>75123.806919888011</v>
      </c>
      <c r="X14" s="269">
        <v>36435.862850174301</v>
      </c>
      <c r="Y14" s="269">
        <v>35242.841481325988</v>
      </c>
      <c r="Z14" s="269">
        <v>34890.235853683196</v>
      </c>
      <c r="AA14" s="269">
        <v>35475</v>
      </c>
      <c r="AB14" s="269">
        <v>35460.59204830887</v>
      </c>
      <c r="AC14" s="269">
        <v>35869.229776740111</v>
      </c>
      <c r="AD14" s="269">
        <v>14925.229720547009</v>
      </c>
      <c r="AE14" s="269">
        <v>15203</v>
      </c>
      <c r="AF14" s="269">
        <v>13923</v>
      </c>
      <c r="AG14" s="269">
        <v>14523</v>
      </c>
      <c r="AH14" s="269">
        <v>14726.830752166998</v>
      </c>
      <c r="AI14" s="269">
        <v>14715</v>
      </c>
      <c r="AJ14" s="269">
        <v>15730</v>
      </c>
      <c r="AK14" s="269">
        <v>42001.490528547998</v>
      </c>
      <c r="AL14" s="269">
        <v>43465.826509521998</v>
      </c>
      <c r="AM14" s="269">
        <v>43496.328029507</v>
      </c>
      <c r="AN14" s="269">
        <v>42764.180256066</v>
      </c>
      <c r="AO14" s="269">
        <v>43497.482967498996</v>
      </c>
      <c r="AP14" s="269">
        <v>44788.355792411996</v>
      </c>
      <c r="AQ14" s="269">
        <v>46105.384061746008</v>
      </c>
      <c r="AR14" s="269">
        <v>47401.594096629997</v>
      </c>
      <c r="AS14" s="269">
        <v>40656</v>
      </c>
      <c r="AT14" s="269">
        <v>37271.977870646995</v>
      </c>
      <c r="AU14" s="269">
        <v>36596.457436794</v>
      </c>
      <c r="AV14" s="269">
        <v>36916.091392779002</v>
      </c>
      <c r="AW14" s="269">
        <v>38002.941725884994</v>
      </c>
      <c r="AX14" s="269">
        <v>38003.654405909998</v>
      </c>
      <c r="AY14" s="269">
        <v>37691.090663562994</v>
      </c>
      <c r="AZ14" s="269">
        <v>38165.782085621999</v>
      </c>
      <c r="BA14" s="269">
        <v>39927.938734630996</v>
      </c>
      <c r="BB14" s="269">
        <v>19390</v>
      </c>
      <c r="BC14" s="269"/>
      <c r="BD14" s="2"/>
      <c r="BE14" s="13"/>
    </row>
    <row r="15" spans="1:57">
      <c r="A15" s="2"/>
      <c r="B15" s="189"/>
      <c r="C15" s="189"/>
      <c r="D15" s="189"/>
      <c r="E15" s="189"/>
      <c r="F15" s="189"/>
      <c r="G15" s="189"/>
      <c r="H15" s="189"/>
      <c r="I15" s="189"/>
      <c r="J15" s="190"/>
      <c r="K15" s="190"/>
      <c r="L15" s="190"/>
      <c r="M15" s="190"/>
      <c r="N15" s="190"/>
      <c r="O15" s="190"/>
      <c r="P15" s="190"/>
      <c r="Q15" s="190"/>
      <c r="R15" s="190"/>
      <c r="S15" s="190"/>
      <c r="T15" s="190"/>
      <c r="U15" s="190"/>
      <c r="V15" s="190"/>
      <c r="W15" s="190"/>
      <c r="X15" s="85"/>
      <c r="Y15" s="85"/>
      <c r="Z15" s="85"/>
      <c r="AA15" s="85"/>
      <c r="AB15" s="85"/>
      <c r="AC15" s="85"/>
      <c r="AD15" s="85"/>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2"/>
      <c r="BE15" s="13"/>
    </row>
    <row r="16" spans="1:57">
      <c r="A16" s="2"/>
      <c r="B16" s="111"/>
      <c r="C16" s="111"/>
      <c r="D16" s="111"/>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2"/>
      <c r="BE16" s="13"/>
    </row>
    <row r="17" spans="1:57" s="30" customFormat="1">
      <c r="A17" s="510" t="s">
        <v>82</v>
      </c>
      <c r="B17" s="525"/>
      <c r="C17" s="525"/>
      <c r="D17" s="525"/>
      <c r="E17" s="525"/>
      <c r="F17" s="525"/>
      <c r="G17" s="525"/>
      <c r="H17" s="525"/>
      <c r="I17" s="525"/>
      <c r="J17" s="525"/>
      <c r="K17" s="525"/>
      <c r="L17" s="525"/>
      <c r="M17" s="525"/>
      <c r="N17" s="525"/>
      <c r="O17" s="525"/>
      <c r="P17" s="525"/>
      <c r="Q17" s="525"/>
      <c r="R17" s="525"/>
      <c r="S17" s="525"/>
      <c r="T17" s="525"/>
      <c r="U17" s="525"/>
      <c r="V17" s="525"/>
      <c r="W17" s="525"/>
      <c r="X17" s="525"/>
      <c r="Y17" s="525"/>
      <c r="Z17" s="525"/>
      <c r="AA17" s="525"/>
      <c r="AB17" s="525"/>
      <c r="AC17" s="525"/>
      <c r="AD17" s="525"/>
      <c r="AE17" s="526"/>
      <c r="AF17" s="526"/>
      <c r="AG17" s="526"/>
      <c r="AH17" s="526"/>
      <c r="AI17" s="526"/>
      <c r="AJ17" s="526"/>
      <c r="AK17" s="526"/>
      <c r="AL17" s="526"/>
      <c r="AM17" s="526"/>
      <c r="AN17" s="526"/>
      <c r="AO17" s="526"/>
      <c r="AP17" s="526"/>
      <c r="AQ17" s="526"/>
      <c r="AR17" s="526"/>
      <c r="AS17" s="526"/>
      <c r="AT17" s="526"/>
      <c r="AU17" s="526"/>
      <c r="AV17" s="526"/>
      <c r="AW17" s="526"/>
      <c r="AX17" s="526"/>
      <c r="AY17" s="526"/>
      <c r="AZ17" s="526"/>
      <c r="BA17" s="526"/>
      <c r="BB17" s="526"/>
      <c r="BC17" s="526"/>
      <c r="BD17" s="524"/>
      <c r="BE17" s="524"/>
    </row>
    <row r="18" spans="1:57">
      <c r="A18" s="2" t="s">
        <v>340</v>
      </c>
      <c r="B18" s="268">
        <v>43761.3</v>
      </c>
      <c r="C18" s="268">
        <v>46556</v>
      </c>
      <c r="D18" s="268">
        <v>53907</v>
      </c>
      <c r="E18" s="268">
        <v>54406.799999999996</v>
      </c>
      <c r="F18" s="268">
        <v>57564</v>
      </c>
      <c r="G18" s="268">
        <v>59786.5</v>
      </c>
      <c r="H18" s="268">
        <v>62315</v>
      </c>
      <c r="I18" s="268">
        <v>61600</v>
      </c>
      <c r="J18" s="269">
        <v>59309.192983000001</v>
      </c>
      <c r="K18" s="269">
        <v>70257.822891999997</v>
      </c>
      <c r="L18" s="269">
        <v>72298.029452000002</v>
      </c>
      <c r="M18" s="269">
        <v>70623.199313000005</v>
      </c>
      <c r="N18" s="269">
        <v>69685.361741000001</v>
      </c>
      <c r="O18" s="269">
        <v>68956.352278999984</v>
      </c>
      <c r="P18" s="269">
        <v>68275.648936999991</v>
      </c>
      <c r="Q18" s="269">
        <v>62152.525951999996</v>
      </c>
      <c r="R18" s="269">
        <v>61594.534071000002</v>
      </c>
      <c r="S18" s="269">
        <v>62721.312334999995</v>
      </c>
      <c r="T18" s="269">
        <v>62505.601766000007</v>
      </c>
      <c r="U18" s="269">
        <v>64511.019396999996</v>
      </c>
      <c r="V18" s="269">
        <v>62493.492789999997</v>
      </c>
      <c r="W18" s="269">
        <v>53047.696293542009</v>
      </c>
      <c r="X18" s="269">
        <v>53558.667512548964</v>
      </c>
      <c r="Y18" s="269">
        <v>50468.039745782029</v>
      </c>
      <c r="Z18" s="269">
        <v>48528.016530169989</v>
      </c>
      <c r="AA18" s="269">
        <v>52030</v>
      </c>
      <c r="AB18" s="269">
        <v>51293.39205105498</v>
      </c>
      <c r="AC18" s="269">
        <v>47313.9294661768</v>
      </c>
      <c r="AD18" s="269">
        <v>50033.253772959797</v>
      </c>
      <c r="AE18" s="269">
        <v>53724.789620589399</v>
      </c>
      <c r="AF18" s="269">
        <v>56153.530464902702</v>
      </c>
      <c r="AG18" s="269">
        <v>55114.726907413387</v>
      </c>
      <c r="AH18" s="269">
        <v>55433.089851472148</v>
      </c>
      <c r="AI18" s="269">
        <v>59157</v>
      </c>
      <c r="AJ18" s="269">
        <v>62692.392380003388</v>
      </c>
      <c r="AK18" s="269">
        <v>64888.432813095009</v>
      </c>
      <c r="AL18" s="269">
        <v>64512.787317906987</v>
      </c>
      <c r="AM18" s="269">
        <v>71660.353665636983</v>
      </c>
      <c r="AN18" s="269">
        <v>76441.540934315999</v>
      </c>
      <c r="AO18" s="269">
        <v>76017.490857259982</v>
      </c>
      <c r="AP18" s="269">
        <v>81773.153924568993</v>
      </c>
      <c r="AQ18" s="269">
        <v>85915.677568233965</v>
      </c>
      <c r="AR18" s="269">
        <v>91053</v>
      </c>
      <c r="AS18" s="269">
        <v>91871.379550050056</v>
      </c>
      <c r="AT18" s="269">
        <v>97020.754476614995</v>
      </c>
      <c r="AU18" s="269">
        <v>104451.814448598</v>
      </c>
      <c r="AV18" s="269">
        <v>110876.80381784689</v>
      </c>
      <c r="AW18" s="269">
        <v>110314.79130590509</v>
      </c>
      <c r="AX18" s="269">
        <v>113168.47988314697</v>
      </c>
      <c r="AY18" s="269">
        <v>102767.63975801811</v>
      </c>
      <c r="AZ18" s="269">
        <v>102972.35068890199</v>
      </c>
      <c r="BA18" s="269">
        <v>92932.501927844976</v>
      </c>
      <c r="BB18" s="269">
        <v>96369.348685824254</v>
      </c>
      <c r="BC18" s="269">
        <v>101631.1571631609</v>
      </c>
      <c r="BD18" s="2"/>
      <c r="BE18" s="13"/>
    </row>
    <row r="19" spans="1:57">
      <c r="A19" s="2" t="s">
        <v>341</v>
      </c>
      <c r="B19" s="268"/>
      <c r="C19" s="268"/>
      <c r="D19" s="268"/>
      <c r="E19" s="268"/>
      <c r="F19" s="268"/>
      <c r="G19" s="268"/>
      <c r="H19" s="268"/>
      <c r="I19" s="268"/>
      <c r="J19" s="269">
        <v>49421.2</v>
      </c>
      <c r="K19" s="269">
        <v>58652.7</v>
      </c>
      <c r="L19" s="269">
        <v>59563.6</v>
      </c>
      <c r="M19" s="269">
        <v>58675</v>
      </c>
      <c r="N19" s="269">
        <v>58633.8</v>
      </c>
      <c r="O19" s="269">
        <v>58295.1</v>
      </c>
      <c r="P19" s="269">
        <v>57578.1</v>
      </c>
      <c r="Q19" s="269">
        <v>52012.7</v>
      </c>
      <c r="R19" s="269">
        <v>51612.3</v>
      </c>
      <c r="S19" s="269">
        <v>52718.8</v>
      </c>
      <c r="T19" s="269">
        <v>52532.7</v>
      </c>
      <c r="U19" s="269">
        <v>54169.9</v>
      </c>
      <c r="V19" s="269">
        <v>52757.9</v>
      </c>
      <c r="W19" s="269">
        <v>44363.4</v>
      </c>
      <c r="X19" s="269">
        <v>45282.5</v>
      </c>
      <c r="Y19" s="269">
        <v>43239.6</v>
      </c>
      <c r="Z19" s="269">
        <v>41686.699999999997</v>
      </c>
      <c r="AA19" s="269">
        <v>45000</v>
      </c>
      <c r="AB19" s="269">
        <v>44963</v>
      </c>
      <c r="AC19" s="269">
        <v>40185.5</v>
      </c>
      <c r="AD19" s="269">
        <v>42509.7</v>
      </c>
      <c r="AE19" s="269">
        <v>45928.2</v>
      </c>
      <c r="AF19" s="269">
        <v>47780.7</v>
      </c>
      <c r="AG19" s="269">
        <v>46868</v>
      </c>
      <c r="AH19" s="269">
        <v>43870.287814172741</v>
      </c>
      <c r="AI19" s="269">
        <v>46773</v>
      </c>
      <c r="AJ19" s="269">
        <v>49904.113037262767</v>
      </c>
      <c r="AK19" s="269">
        <v>51613.229861396001</v>
      </c>
      <c r="AL19" s="269">
        <v>51694.638334846</v>
      </c>
      <c r="AM19" s="269">
        <v>57678.744026045999</v>
      </c>
      <c r="AN19" s="269">
        <v>61517.747833607005</v>
      </c>
      <c r="AO19" s="269">
        <v>61538.064936579001</v>
      </c>
      <c r="AP19" s="269">
        <v>66394.547087939005</v>
      </c>
      <c r="AQ19" s="269">
        <v>69933.167118079</v>
      </c>
      <c r="AR19" s="269">
        <v>74330</v>
      </c>
      <c r="AS19" s="269">
        <v>74990.290566034993</v>
      </c>
      <c r="AT19" s="269">
        <v>78915.317037497996</v>
      </c>
      <c r="AU19" s="269">
        <v>85599.447254701998</v>
      </c>
      <c r="AV19" s="269">
        <v>91661.192733627991</v>
      </c>
      <c r="AW19" s="269">
        <v>90754.712830976001</v>
      </c>
      <c r="AX19" s="269">
        <v>92907.081016992001</v>
      </c>
      <c r="AY19" s="269">
        <v>84121.865458636996</v>
      </c>
      <c r="AZ19" s="269">
        <v>84836.292273710002</v>
      </c>
      <c r="BA19" s="269">
        <v>75969.783761909013</v>
      </c>
      <c r="BB19" s="269">
        <v>78679.909813754959</v>
      </c>
      <c r="BC19" s="269">
        <v>82929.733820777401</v>
      </c>
      <c r="BD19" s="2"/>
      <c r="BE19" s="13"/>
    </row>
    <row r="20" spans="1:57">
      <c r="A20" s="2" t="s">
        <v>764</v>
      </c>
      <c r="B20" s="268">
        <v>10996.2</v>
      </c>
      <c r="C20" s="268">
        <v>12204</v>
      </c>
      <c r="D20" s="268">
        <v>14382</v>
      </c>
      <c r="E20" s="268">
        <v>15138.4</v>
      </c>
      <c r="F20" s="268">
        <v>14850</v>
      </c>
      <c r="G20" s="268">
        <v>16241</v>
      </c>
      <c r="H20" s="268">
        <v>16500</v>
      </c>
      <c r="I20" s="268">
        <v>15675</v>
      </c>
      <c r="J20" s="269">
        <v>15898.915194000003</v>
      </c>
      <c r="K20" s="269">
        <v>19004.457906000003</v>
      </c>
      <c r="L20" s="269">
        <v>18652.376828000015</v>
      </c>
      <c r="M20" s="269">
        <v>17849.892122999983</v>
      </c>
      <c r="N20" s="269">
        <v>16957.623412000001</v>
      </c>
      <c r="O20" s="269">
        <v>16309.51464400001</v>
      </c>
      <c r="P20" s="269">
        <v>14953.149932999971</v>
      </c>
      <c r="Q20" s="269">
        <v>12901.380716999978</v>
      </c>
      <c r="R20" s="269">
        <v>12673.633989000004</v>
      </c>
      <c r="S20" s="269">
        <v>12695.042388999989</v>
      </c>
      <c r="T20" s="269">
        <v>13286.648837999986</v>
      </c>
      <c r="U20" s="269">
        <v>14233.245731999988</v>
      </c>
      <c r="V20" s="269">
        <v>13998.263753999992</v>
      </c>
      <c r="W20" s="269">
        <v>12247.189157559995</v>
      </c>
      <c r="X20" s="269">
        <v>12945.463315674973</v>
      </c>
      <c r="Y20" s="269">
        <v>13065.317436425008</v>
      </c>
      <c r="Z20" s="269">
        <v>13616.109291279994</v>
      </c>
      <c r="AA20" s="269">
        <v>16814</v>
      </c>
      <c r="AB20" s="269">
        <v>18187.919616880979</v>
      </c>
      <c r="AC20" s="269">
        <v>17861.326660631566</v>
      </c>
      <c r="AD20" s="269">
        <v>19220.899901304449</v>
      </c>
      <c r="AE20" s="269">
        <v>20934.255039373929</v>
      </c>
      <c r="AF20" s="269">
        <v>21868.119607931985</v>
      </c>
      <c r="AG20" s="269">
        <v>21608.266769026875</v>
      </c>
      <c r="AH20" s="269">
        <v>24205.991842561514</v>
      </c>
      <c r="AI20" s="269">
        <v>26082</v>
      </c>
      <c r="AJ20" s="269">
        <v>28330.852402844761</v>
      </c>
      <c r="AK20" s="269">
        <v>28640.351451533032</v>
      </c>
      <c r="AL20" s="269">
        <v>28425.237581814989</v>
      </c>
      <c r="AM20" s="269">
        <v>32452.604396361967</v>
      </c>
      <c r="AN20" s="269">
        <v>35852.111383891999</v>
      </c>
      <c r="AO20" s="269">
        <v>36250.037016255985</v>
      </c>
      <c r="AP20" s="269">
        <v>39272.835667117004</v>
      </c>
      <c r="AQ20" s="269">
        <v>41743.257718275971</v>
      </c>
      <c r="AR20" s="269">
        <v>45189.595548540012</v>
      </c>
      <c r="AS20" s="269">
        <v>45865.058372405023</v>
      </c>
      <c r="AT20" s="269">
        <v>47381.327488894975</v>
      </c>
      <c r="AU20" s="269">
        <v>51251.757737889995</v>
      </c>
      <c r="AV20" s="269">
        <v>54467.657951169866</v>
      </c>
      <c r="AW20" s="269">
        <v>54180.045980566138</v>
      </c>
      <c r="AX20" s="269">
        <v>56030.824992768969</v>
      </c>
      <c r="AY20" s="269">
        <v>51157.696750332107</v>
      </c>
      <c r="AZ20" s="269">
        <v>50590.337462133022</v>
      </c>
      <c r="BA20" s="269">
        <v>43236.906250850938</v>
      </c>
      <c r="BB20" s="269">
        <v>43616.529097564257</v>
      </c>
      <c r="BC20" s="269">
        <v>47258.500766475518</v>
      </c>
      <c r="BD20" s="2"/>
      <c r="BE20" s="13"/>
    </row>
    <row r="21" spans="1:57">
      <c r="A21" s="2" t="s">
        <v>342</v>
      </c>
      <c r="B21" s="268"/>
      <c r="C21" s="268"/>
      <c r="D21" s="268"/>
      <c r="E21" s="268"/>
      <c r="F21" s="268"/>
      <c r="G21" s="268"/>
      <c r="H21" s="268"/>
      <c r="I21" s="268"/>
      <c r="J21" s="279">
        <v>0.26806831107206541</v>
      </c>
      <c r="K21" s="279">
        <v>0.27049596932733838</v>
      </c>
      <c r="L21" s="279">
        <v>0.2579928798804077</v>
      </c>
      <c r="M21" s="279">
        <v>0.25274827955456636</v>
      </c>
      <c r="N21" s="279">
        <v>0.24334556050704739</v>
      </c>
      <c r="O21" s="279">
        <v>0.23651939386252774</v>
      </c>
      <c r="P21" s="279">
        <v>0.21901146551968617</v>
      </c>
      <c r="Q21" s="279">
        <v>0.20757612855451174</v>
      </c>
      <c r="R21" s="279">
        <v>0.20575906904971647</v>
      </c>
      <c r="S21" s="279">
        <v>0.20240396631362975</v>
      </c>
      <c r="T21" s="279">
        <v>0.21256732936898584</v>
      </c>
      <c r="U21" s="279">
        <v>0.22063278281821552</v>
      </c>
      <c r="V21" s="279">
        <v>0.22399554144043535</v>
      </c>
      <c r="W21" s="279">
        <v>0.23087127270880112</v>
      </c>
      <c r="X21" s="279">
        <v>0.24170622453670659</v>
      </c>
      <c r="Y21" s="279">
        <v>0.25888299807636117</v>
      </c>
      <c r="Z21" s="279">
        <f>Z20/Z18</f>
        <v>0.28058244010065453</v>
      </c>
      <c r="AA21" s="279">
        <f>AA20/AA18</f>
        <v>0.32315971554872192</v>
      </c>
      <c r="AB21" s="279">
        <v>0.35458601760588571</v>
      </c>
      <c r="AC21" s="279">
        <v>0.37750672713413186</v>
      </c>
      <c r="AD21" s="279">
        <v>0.38416250097434762</v>
      </c>
      <c r="AE21" s="279">
        <v>0.38965727343399631</v>
      </c>
      <c r="AF21" s="279">
        <v>0.38943445633574336</v>
      </c>
      <c r="AG21" s="279">
        <v>0.39205976299812501</v>
      </c>
      <c r="AH21" s="279">
        <v>0.43667044192231097</v>
      </c>
      <c r="AI21" s="116">
        <f t="shared" ref="AI21:AQ21" si="0">AI20/AI18</f>
        <v>0.44089456869009586</v>
      </c>
      <c r="AJ21" s="116">
        <f t="shared" si="0"/>
        <v>0.45190255671087265</v>
      </c>
      <c r="AK21" s="116">
        <f t="shared" si="0"/>
        <v>0.44137838147561453</v>
      </c>
      <c r="AL21" s="116">
        <f t="shared" si="0"/>
        <v>0.44061400481335145</v>
      </c>
      <c r="AM21" s="116">
        <f t="shared" si="0"/>
        <v>0.45286693040595249</v>
      </c>
      <c r="AN21" s="116">
        <f t="shared" si="0"/>
        <v>0.46901345715543175</v>
      </c>
      <c r="AO21" s="116">
        <f t="shared" si="0"/>
        <v>0.47686442432470733</v>
      </c>
      <c r="AP21" s="116">
        <f t="shared" si="0"/>
        <v>0.48026563465246708</v>
      </c>
      <c r="AQ21" s="116">
        <f t="shared" si="0"/>
        <v>0.48586310321679771</v>
      </c>
      <c r="AR21" s="116">
        <f t="shared" ref="AR21" si="1">AR20/AR18</f>
        <v>0.49629990827913428</v>
      </c>
      <c r="AS21" s="116">
        <v>0.49923119253280041</v>
      </c>
      <c r="AT21" s="116">
        <v>0.49923119253280041</v>
      </c>
      <c r="AU21" s="116">
        <v>0.49067604374774743</v>
      </c>
      <c r="AV21" s="116">
        <v>0.49124705708671573</v>
      </c>
      <c r="AW21" s="116">
        <v>0.49114035696558406</v>
      </c>
      <c r="AX21" s="116">
        <v>0.49510981370982499</v>
      </c>
      <c r="AY21" s="116">
        <v>0.49779966603096665</v>
      </c>
      <c r="AZ21" s="116">
        <v>0.49130020946084391</v>
      </c>
      <c r="BA21" s="116">
        <v>0.4652536465294913</v>
      </c>
      <c r="BB21" s="116">
        <v>0.45260034702495006</v>
      </c>
      <c r="BC21" s="116">
        <v>0.46500012482004588</v>
      </c>
      <c r="BD21" s="2"/>
      <c r="BE21" s="13"/>
    </row>
    <row r="22" spans="1:57">
      <c r="A22" s="2" t="s">
        <v>38</v>
      </c>
      <c r="B22" s="268">
        <v>0</v>
      </c>
      <c r="C22" s="268">
        <v>0</v>
      </c>
      <c r="D22" s="268">
        <v>0</v>
      </c>
      <c r="E22" s="268">
        <v>0</v>
      </c>
      <c r="F22" s="268">
        <v>0</v>
      </c>
      <c r="G22" s="268">
        <v>4360</v>
      </c>
      <c r="H22" s="268">
        <v>4400</v>
      </c>
      <c r="I22" s="268">
        <v>3410</v>
      </c>
      <c r="J22" s="269">
        <v>3664.072370999997</v>
      </c>
      <c r="K22" s="269">
        <v>4793.426233000002</v>
      </c>
      <c r="L22" s="269">
        <v>4779.2630290000234</v>
      </c>
      <c r="M22" s="269">
        <v>3903.7432909999784</v>
      </c>
      <c r="N22" s="269">
        <v>2797.131482999996</v>
      </c>
      <c r="O22" s="269">
        <v>3841.9061810000126</v>
      </c>
      <c r="P22" s="269">
        <v>3194.5146659999987</v>
      </c>
      <c r="Q22" s="269">
        <v>1947.2036149999253</v>
      </c>
      <c r="R22" s="269">
        <v>760.63715499999739</v>
      </c>
      <c r="S22" s="269">
        <v>1216.0830410000019</v>
      </c>
      <c r="T22" s="269">
        <v>1946.8141519999845</v>
      </c>
      <c r="U22" s="269">
        <v>985.58603299998867</v>
      </c>
      <c r="V22" s="269">
        <v>1975.0419529999926</v>
      </c>
      <c r="W22" s="269">
        <v>1103.2685090209889</v>
      </c>
      <c r="X22" s="269">
        <v>3180.3276971619762</v>
      </c>
      <c r="Y22" s="269">
        <v>3930.5067332720155</v>
      </c>
      <c r="Z22" s="269">
        <v>5038.2426960849953</v>
      </c>
      <c r="AA22" s="269">
        <v>8300</v>
      </c>
      <c r="AB22" s="269">
        <v>11039.414612995981</v>
      </c>
      <c r="AC22" s="269">
        <v>11207.964456160316</v>
      </c>
      <c r="AD22" s="269">
        <v>11838.981690554079</v>
      </c>
      <c r="AE22" s="269">
        <v>13547.792272475173</v>
      </c>
      <c r="AF22" s="269">
        <v>13613.775871372163</v>
      </c>
      <c r="AG22" s="269">
        <v>13106.669706542438</v>
      </c>
      <c r="AH22" s="269">
        <v>13762.064136025412</v>
      </c>
      <c r="AI22" s="269">
        <v>15344</v>
      </c>
      <c r="AJ22" s="269">
        <v>17397.68580397054</v>
      </c>
      <c r="AK22" s="269">
        <v>17627.00488302204</v>
      </c>
      <c r="AL22" s="269">
        <v>15932.768747483991</v>
      </c>
      <c r="AM22" s="269">
        <v>19952.228861035968</v>
      </c>
      <c r="AN22" s="269">
        <v>22745.400508046998</v>
      </c>
      <c r="AO22" s="269">
        <v>23327.078985778993</v>
      </c>
      <c r="AP22" s="269">
        <v>25925.928155144004</v>
      </c>
      <c r="AQ22" s="269">
        <v>28057.272809669965</v>
      </c>
      <c r="AR22" s="269">
        <v>30938.775270948012</v>
      </c>
      <c r="AS22" s="269">
        <v>31663.551339893016</v>
      </c>
      <c r="AT22" s="269">
        <v>32807.270869895976</v>
      </c>
      <c r="AU22" s="269">
        <v>35669.158741014995</v>
      </c>
      <c r="AV22" s="269">
        <v>36674.038935295859</v>
      </c>
      <c r="AW22" s="269">
        <v>36104.48450088915</v>
      </c>
      <c r="AX22" s="269">
        <v>37916.951422136968</v>
      </c>
      <c r="AY22" s="269">
        <v>34898.181808970105</v>
      </c>
      <c r="AZ22" s="269">
        <v>34000.886304886022</v>
      </c>
      <c r="BA22" s="269">
        <v>28810.893333455933</v>
      </c>
      <c r="BB22" s="269">
        <v>27932.863057466711</v>
      </c>
      <c r="BC22" s="269">
        <v>31017.956108219274</v>
      </c>
      <c r="BD22" s="2"/>
      <c r="BE22" s="13"/>
    </row>
    <row r="23" spans="1:57">
      <c r="A23" s="2" t="s">
        <v>343</v>
      </c>
      <c r="B23" s="268"/>
      <c r="C23" s="268"/>
      <c r="D23" s="268"/>
      <c r="E23" s="268"/>
      <c r="F23" s="268"/>
      <c r="G23" s="268"/>
      <c r="H23" s="268"/>
      <c r="I23" s="268"/>
      <c r="J23" s="269">
        <v>255.40565363599308</v>
      </c>
      <c r="K23" s="269">
        <v>738.68852181549846</v>
      </c>
      <c r="L23" s="269">
        <v>-2450.1515890868832</v>
      </c>
      <c r="M23" s="269">
        <v>-3616.4558196915514</v>
      </c>
      <c r="N23" s="269">
        <v>-4623.7327360000054</v>
      </c>
      <c r="O23" s="269">
        <v>-4155.3768779999846</v>
      </c>
      <c r="P23" s="269">
        <v>-7079.1656840000014</v>
      </c>
      <c r="Q23" s="269">
        <v>-13538.795801000084</v>
      </c>
      <c r="R23" s="269">
        <v>-8777.2482110000019</v>
      </c>
      <c r="S23" s="269">
        <v>-9589.3662259999983</v>
      </c>
      <c r="T23" s="269">
        <v>-1300.3778437167111</v>
      </c>
      <c r="U23" s="269">
        <v>-1238.4940907146438</v>
      </c>
      <c r="V23" s="269">
        <v>-2472.2871007367685</v>
      </c>
      <c r="W23" s="269">
        <v>-6158.3347454835521</v>
      </c>
      <c r="X23" s="269">
        <v>-4069.7536981713838</v>
      </c>
      <c r="Y23" s="269">
        <v>2702.6210289910582</v>
      </c>
      <c r="Z23" s="269">
        <v>7166.2953012706939</v>
      </c>
      <c r="AA23" s="269">
        <v>5370</v>
      </c>
      <c r="AB23" s="269">
        <v>7594.8582614169736</v>
      </c>
      <c r="AC23" s="269">
        <v>3558.967869929098</v>
      </c>
      <c r="AD23" s="269">
        <v>7551.7358315167194</v>
      </c>
      <c r="AE23" s="269">
        <v>4052.9717454971687</v>
      </c>
      <c r="AF23" s="269">
        <v>9506.401030951447</v>
      </c>
      <c r="AG23" s="269">
        <v>9203.4275112802243</v>
      </c>
      <c r="AH23" s="269">
        <v>8054.8968585949979</v>
      </c>
      <c r="AI23" s="269">
        <v>10633</v>
      </c>
      <c r="AJ23" s="269">
        <v>11829.187863265332</v>
      </c>
      <c r="AK23" s="269">
        <v>6921.5072146920393</v>
      </c>
      <c r="AL23" s="269">
        <v>8386.0428078699915</v>
      </c>
      <c r="AM23" s="269">
        <v>13018.606606826968</v>
      </c>
      <c r="AN23" s="269">
        <v>13222.224953258998</v>
      </c>
      <c r="AO23" s="269">
        <v>15662.350967222992</v>
      </c>
      <c r="AP23" s="269">
        <v>18682.546486510004</v>
      </c>
      <c r="AQ23" s="269">
        <v>22706.510644103968</v>
      </c>
      <c r="AR23" s="269">
        <v>21724.109257386008</v>
      </c>
      <c r="AS23" s="269">
        <v>23175.390735781017</v>
      </c>
      <c r="AT23" s="269">
        <v>21208.855069253987</v>
      </c>
      <c r="AU23" s="269">
        <v>18864.608449846986</v>
      </c>
      <c r="AV23" s="269">
        <v>23370.301025781853</v>
      </c>
      <c r="AW23" s="269">
        <v>19125.719918827155</v>
      </c>
      <c r="AX23" s="269">
        <v>20530.322154781974</v>
      </c>
      <c r="AY23" s="269">
        <v>19130.515209532088</v>
      </c>
      <c r="AZ23" s="269">
        <v>4568.745106986029</v>
      </c>
      <c r="BA23" s="269">
        <v>16967.173169438905</v>
      </c>
      <c r="BB23" s="269">
        <v>16293.722708280256</v>
      </c>
      <c r="BC23" s="269">
        <v>17871.099553270149</v>
      </c>
      <c r="BD23" s="2"/>
      <c r="BE23" s="13"/>
    </row>
    <row r="24" spans="1:57">
      <c r="A24" s="2" t="s">
        <v>765</v>
      </c>
      <c r="B24" s="268"/>
      <c r="C24" s="268"/>
      <c r="D24" s="268"/>
      <c r="E24" s="268"/>
      <c r="F24" s="268"/>
      <c r="G24" s="268"/>
      <c r="H24" s="268"/>
      <c r="I24" s="268"/>
      <c r="J24" s="269">
        <v>-2988.7185692740072</v>
      </c>
      <c r="K24" s="269">
        <v>-2884.1548026845007</v>
      </c>
      <c r="L24" s="269">
        <v>-5797.7919731556831</v>
      </c>
      <c r="M24" s="269">
        <v>-6453.1643202819969</v>
      </c>
      <c r="N24" s="269">
        <v>-8199.5121400000025</v>
      </c>
      <c r="O24" s="269">
        <v>-7535.7505929999879</v>
      </c>
      <c r="P24" s="269">
        <v>-8359.3127980000027</v>
      </c>
      <c r="Q24" s="269">
        <v>-11388.80427800008</v>
      </c>
      <c r="R24" s="269">
        <v>-9767.6355300000014</v>
      </c>
      <c r="S24" s="269">
        <v>-11026.141191999997</v>
      </c>
      <c r="T24" s="269">
        <v>-4870.2163367167141</v>
      </c>
      <c r="U24" s="269">
        <v>-3839.2573567146424</v>
      </c>
      <c r="V24" s="269">
        <v>-5204.0012997367685</v>
      </c>
      <c r="W24" s="269">
        <v>-6098.9806054755527</v>
      </c>
      <c r="X24" s="269">
        <v>-6204.3323717373833</v>
      </c>
      <c r="Y24" s="269">
        <v>358.82972939005703</v>
      </c>
      <c r="Z24" s="269">
        <v>3356.1553602606937</v>
      </c>
      <c r="AA24" s="269">
        <v>3067</v>
      </c>
      <c r="AB24" s="269">
        <v>5881.5847153429731</v>
      </c>
      <c r="AC24" s="269">
        <v>8647</v>
      </c>
      <c r="AD24" s="269">
        <v>3938.8849641134684</v>
      </c>
      <c r="AE24" s="269">
        <v>2845</v>
      </c>
      <c r="AF24" s="269">
        <v>2255.0561941999199</v>
      </c>
      <c r="AG24" s="269">
        <v>4341.8227570343652</v>
      </c>
      <c r="AH24" s="269">
        <v>2924.1300067933407</v>
      </c>
      <c r="AI24" s="269">
        <v>3048</v>
      </c>
      <c r="AJ24" s="269">
        <v>2462.5364080469953</v>
      </c>
      <c r="AK24" s="269">
        <v>2707</v>
      </c>
      <c r="AL24" s="269">
        <v>2175.7640767192502</v>
      </c>
      <c r="AM24" s="269">
        <v>3659.3843296127502</v>
      </c>
      <c r="AN24" s="269">
        <v>3016.769455338997</v>
      </c>
      <c r="AO24" s="269">
        <v>4919.2500143419893</v>
      </c>
      <c r="AP24" s="269">
        <v>4960.5965010890031</v>
      </c>
      <c r="AQ24" s="269">
        <v>6577.9524669209695</v>
      </c>
      <c r="AR24" s="269">
        <v>6227.0722558230082</v>
      </c>
      <c r="AS24" s="269">
        <v>7169.1641924170144</v>
      </c>
      <c r="AT24" s="269">
        <v>6120.409974289988</v>
      </c>
      <c r="AU24" s="269">
        <v>4825</v>
      </c>
      <c r="AV24" s="269">
        <v>6924.0673167358491</v>
      </c>
      <c r="AW24" s="269">
        <v>4854</v>
      </c>
      <c r="AX24" s="269">
        <v>6742.4845738209715</v>
      </c>
      <c r="AY24" s="269">
        <v>5328.8170911420912</v>
      </c>
      <c r="AZ24" s="567">
        <v>75.964334203021281</v>
      </c>
      <c r="BA24" s="567">
        <v>5320.1080055579132</v>
      </c>
      <c r="BB24" s="269">
        <v>4016.874354787411</v>
      </c>
      <c r="BC24" s="269">
        <v>4553.5305191217758</v>
      </c>
      <c r="BD24" s="2"/>
      <c r="BE24" s="209"/>
    </row>
    <row r="25" spans="1:57">
      <c r="A25" s="2" t="s">
        <v>39</v>
      </c>
      <c r="B25" s="268">
        <v>18774</v>
      </c>
      <c r="C25" s="268">
        <v>25990</v>
      </c>
      <c r="D25" s="268">
        <v>13515</v>
      </c>
      <c r="E25" s="268">
        <v>12903.199999999999</v>
      </c>
      <c r="F25" s="268">
        <v>6426</v>
      </c>
      <c r="G25" s="268">
        <v>11445</v>
      </c>
      <c r="H25" s="268">
        <v>8800</v>
      </c>
      <c r="I25" s="268">
        <v>12925</v>
      </c>
      <c r="J25" s="269">
        <v>9232.3259999999991</v>
      </c>
      <c r="K25" s="269">
        <v>9639.768</v>
      </c>
      <c r="L25" s="269">
        <v>8681.33</v>
      </c>
      <c r="M25" s="269">
        <v>10868.407000000001</v>
      </c>
      <c r="N25" s="269">
        <v>9571.2900699999991</v>
      </c>
      <c r="O25" s="269">
        <v>16020.902760000001</v>
      </c>
      <c r="P25" s="269">
        <v>17577.816999999995</v>
      </c>
      <c r="Q25" s="269">
        <v>22210.108</v>
      </c>
      <c r="R25" s="269">
        <v>9511.0310000000009</v>
      </c>
      <c r="S25" s="269">
        <v>10665.229999999998</v>
      </c>
      <c r="T25" s="269">
        <v>12098.864000000003</v>
      </c>
      <c r="U25" s="269">
        <v>18667.891189064496</v>
      </c>
      <c r="V25" s="269">
        <v>7503.504585341424</v>
      </c>
      <c r="W25" s="269">
        <v>6781.3770374301876</v>
      </c>
      <c r="X25" s="269">
        <v>4366.2131277775252</v>
      </c>
      <c r="Y25" s="269">
        <v>9032.7416779837931</v>
      </c>
      <c r="Z25" s="269">
        <v>3160.9451196352893</v>
      </c>
      <c r="AA25" s="269">
        <v>3131</v>
      </c>
      <c r="AB25" s="269">
        <v>4667.3656491992861</v>
      </c>
      <c r="AC25" s="269">
        <v>16299.817125767253</v>
      </c>
      <c r="AD25" s="269">
        <v>3295.7369373321226</v>
      </c>
      <c r="AE25" s="269">
        <v>7386</v>
      </c>
      <c r="AF25" s="269">
        <v>7251.3448367515266</v>
      </c>
      <c r="AG25" s="269">
        <v>21495.79104192536</v>
      </c>
      <c r="AH25" s="269">
        <v>6926.9286390100406</v>
      </c>
      <c r="AI25" s="269">
        <v>10326</v>
      </c>
      <c r="AJ25" s="269">
        <v>10676.807801334775</v>
      </c>
      <c r="AK25" s="269">
        <v>17909</v>
      </c>
      <c r="AL25" s="269">
        <v>5003.817500000001</v>
      </c>
      <c r="AM25" s="269">
        <v>11145.749999999998</v>
      </c>
      <c r="AN25" s="269">
        <v>13822.027083333334</v>
      </c>
      <c r="AO25" s="269">
        <v>15457.332500000004</v>
      </c>
      <c r="AP25" s="269">
        <v>7794.7100000000009</v>
      </c>
      <c r="AQ25" s="269">
        <v>10315.12138447753</v>
      </c>
      <c r="AR25" s="269">
        <v>13965.082083333333</v>
      </c>
      <c r="AS25" s="269">
        <v>16815.837180886789</v>
      </c>
      <c r="AT25" s="269">
        <v>10880.382500000002</v>
      </c>
      <c r="AU25" s="269">
        <v>13500</v>
      </c>
      <c r="AV25" s="269">
        <v>12077.252950000004</v>
      </c>
      <c r="AW25" s="269">
        <v>23943</v>
      </c>
      <c r="AX25" s="269">
        <v>11502.7955</v>
      </c>
      <c r="AY25" s="269">
        <v>14187.842833333334</v>
      </c>
      <c r="AZ25" s="269">
        <v>15145.604716666669</v>
      </c>
      <c r="BA25" s="269">
        <v>20192.170050000001</v>
      </c>
      <c r="BB25" s="269">
        <v>12253.927350000002</v>
      </c>
      <c r="BC25" s="269">
        <v>14150.262966666667</v>
      </c>
      <c r="BD25" s="2"/>
      <c r="BE25" s="2"/>
    </row>
    <row r="26" spans="1:57">
      <c r="A26" s="2" t="s">
        <v>345</v>
      </c>
      <c r="B26" s="268"/>
      <c r="C26" s="268"/>
      <c r="D26" s="268"/>
      <c r="E26" s="268"/>
      <c r="F26" s="268"/>
      <c r="G26" s="268"/>
      <c r="H26" s="268"/>
      <c r="I26" s="268"/>
      <c r="J26" s="268">
        <v>6666.5891940000038</v>
      </c>
      <c r="K26" s="268">
        <v>9364.6899060000032</v>
      </c>
      <c r="L26" s="268">
        <v>9971.046828000015</v>
      </c>
      <c r="M26" s="268">
        <v>6981.4851229999822</v>
      </c>
      <c r="N26" s="268">
        <v>7386.3333420000017</v>
      </c>
      <c r="O26" s="268">
        <v>288.61188400000901</v>
      </c>
      <c r="P26" s="268">
        <v>-2624.667067000024</v>
      </c>
      <c r="Q26" s="268">
        <v>-9308.727283000022</v>
      </c>
      <c r="R26" s="268">
        <v>3162.6029890000027</v>
      </c>
      <c r="S26" s="268">
        <v>2029.8123889999915</v>
      </c>
      <c r="T26" s="268">
        <v>1187.7848379999832</v>
      </c>
      <c r="U26" s="268">
        <v>-4434.6454570645074</v>
      </c>
      <c r="V26" s="268">
        <v>6494.7591686585683</v>
      </c>
      <c r="W26" s="268">
        <v>5465.8121201298072</v>
      </c>
      <c r="X26" s="268">
        <v>8579.2501878974472</v>
      </c>
      <c r="Y26" s="268">
        <v>4032.5757584412149</v>
      </c>
      <c r="Z26" s="268">
        <v>10455.164171644705</v>
      </c>
      <c r="AA26" s="268">
        <v>13684</v>
      </c>
      <c r="AB26" s="268">
        <v>13520.553967681693</v>
      </c>
      <c r="AC26" s="268">
        <v>1611.0242485497783</v>
      </c>
      <c r="AD26" s="269">
        <v>15925.162963972325</v>
      </c>
      <c r="AE26" s="268">
        <v>13548</v>
      </c>
      <c r="AF26" s="269">
        <v>9670.0822986672993</v>
      </c>
      <c r="AG26" s="269">
        <v>112.47572710151667</v>
      </c>
      <c r="AH26" s="269">
        <v>17279.063203551475</v>
      </c>
      <c r="AI26" s="269">
        <v>15756</v>
      </c>
      <c r="AJ26" s="269">
        <v>17654.044601509984</v>
      </c>
      <c r="AK26" s="269">
        <v>10731</v>
      </c>
      <c r="AL26" s="269">
        <v>23421.420081814987</v>
      </c>
      <c r="AM26" s="269">
        <v>21306.854396361967</v>
      </c>
      <c r="AN26" s="269">
        <v>22030.084300558665</v>
      </c>
      <c r="AO26" s="269">
        <v>20792.704516255981</v>
      </c>
      <c r="AP26" s="269">
        <v>31478.125667117005</v>
      </c>
      <c r="AQ26" s="269">
        <v>31428.136333798437</v>
      </c>
      <c r="AR26" s="269">
        <v>31224.513465206677</v>
      </c>
      <c r="AS26" s="269">
        <v>29049.221191518234</v>
      </c>
      <c r="AT26" s="269">
        <v>36500.944988894975</v>
      </c>
      <c r="AU26" s="269">
        <v>37752</v>
      </c>
      <c r="AV26" s="269">
        <v>42390.405001169864</v>
      </c>
      <c r="AW26" s="269">
        <v>30237</v>
      </c>
      <c r="AX26" s="269">
        <v>44528.029492768968</v>
      </c>
      <c r="AY26" s="269">
        <v>36969.853916998771</v>
      </c>
      <c r="AZ26" s="269">
        <v>35444.732745466354</v>
      </c>
      <c r="BA26" s="269">
        <v>23044.736200850937</v>
      </c>
      <c r="BB26" s="269">
        <v>31362.601747564255</v>
      </c>
      <c r="BC26" s="269">
        <v>33108.537799808859</v>
      </c>
      <c r="BD26" s="2"/>
      <c r="BE26" s="2"/>
    </row>
    <row r="27" spans="1:57">
      <c r="A27" s="2" t="s">
        <v>346</v>
      </c>
      <c r="B27" s="268"/>
      <c r="C27" s="268"/>
      <c r="D27" s="268"/>
      <c r="E27" s="268"/>
      <c r="F27" s="268"/>
      <c r="G27" s="268"/>
      <c r="H27" s="268"/>
      <c r="I27" s="268"/>
      <c r="J27" s="268">
        <v>832641.85063400003</v>
      </c>
      <c r="K27" s="268">
        <v>892046.17345300014</v>
      </c>
      <c r="L27" s="268">
        <v>884446.09280400013</v>
      </c>
      <c r="M27" s="268">
        <v>864743.7330430001</v>
      </c>
      <c r="N27" s="268">
        <v>843679.11068899999</v>
      </c>
      <c r="O27" s="268">
        <v>818247.39341500006</v>
      </c>
      <c r="P27" s="268">
        <v>757472.13359800004</v>
      </c>
      <c r="Q27" s="268">
        <v>681543.88436899986</v>
      </c>
      <c r="R27" s="268">
        <v>707360.62111099996</v>
      </c>
      <c r="S27" s="268">
        <v>718612.61456600006</v>
      </c>
      <c r="T27" s="268">
        <v>736613.54264799994</v>
      </c>
      <c r="U27" s="268">
        <v>758254.240643</v>
      </c>
      <c r="V27" s="268">
        <v>617750.509571</v>
      </c>
      <c r="W27" s="268">
        <v>573037.283990775</v>
      </c>
      <c r="X27" s="268">
        <v>584381.36400875496</v>
      </c>
      <c r="Y27" s="268">
        <v>578688.45641465008</v>
      </c>
      <c r="Z27" s="268">
        <v>589363.93510242004</v>
      </c>
      <c r="AA27" s="268">
        <v>602065</v>
      </c>
      <c r="AB27" s="268">
        <v>558509.61292545113</v>
      </c>
      <c r="AC27" s="268">
        <v>568556.32125872793</v>
      </c>
      <c r="AD27" s="269">
        <v>573800.15930138261</v>
      </c>
      <c r="AE27" s="268">
        <v>603147</v>
      </c>
      <c r="AF27" s="269">
        <v>593874.87774433114</v>
      </c>
      <c r="AG27" s="269">
        <v>607891.64754328108</v>
      </c>
      <c r="AH27" s="269">
        <v>569702.3232449441</v>
      </c>
      <c r="AI27" s="269">
        <v>586118</v>
      </c>
      <c r="AJ27" s="269">
        <v>606433.83880473906</v>
      </c>
      <c r="AK27" s="269">
        <v>626556</v>
      </c>
      <c r="AL27" s="269">
        <v>630102.67843688896</v>
      </c>
      <c r="AM27" s="269">
        <v>637823.65140328917</v>
      </c>
      <c r="AN27" s="269">
        <v>650293.56305231899</v>
      </c>
      <c r="AO27" s="269">
        <v>654288.55813338305</v>
      </c>
      <c r="AP27" s="269">
        <v>659232.22592186788</v>
      </c>
      <c r="AQ27" s="269">
        <v>669934.40687324293</v>
      </c>
      <c r="AR27" s="269">
        <v>670024.65129670093</v>
      </c>
      <c r="AS27" s="269">
        <v>692624.02579770295</v>
      </c>
      <c r="AT27" s="269">
        <v>706046.63053100405</v>
      </c>
      <c r="AU27" s="269">
        <v>719394</v>
      </c>
      <c r="AV27" s="269">
        <v>774270.26319682808</v>
      </c>
      <c r="AW27" s="269">
        <v>791587</v>
      </c>
      <c r="AX27" s="269">
        <v>664092.79058315803</v>
      </c>
      <c r="AY27" s="269">
        <v>654169.53784988401</v>
      </c>
      <c r="AZ27" s="269">
        <v>613741.15145865106</v>
      </c>
      <c r="BA27" s="269">
        <v>589292.05753938889</v>
      </c>
      <c r="BB27" s="269">
        <v>598009.44432199991</v>
      </c>
      <c r="BC27" s="269">
        <v>601732.01513000007</v>
      </c>
      <c r="BD27" s="2"/>
      <c r="BE27" s="2"/>
    </row>
    <row r="28" spans="1:57">
      <c r="A28" s="2"/>
      <c r="B28" s="189"/>
      <c r="C28" s="189"/>
      <c r="D28" s="189"/>
      <c r="E28" s="189"/>
      <c r="F28" s="189"/>
      <c r="G28" s="189"/>
      <c r="H28" s="189"/>
      <c r="I28" s="189"/>
      <c r="J28" s="189"/>
      <c r="K28" s="189"/>
      <c r="L28" s="189"/>
      <c r="M28" s="189"/>
      <c r="N28" s="189"/>
      <c r="O28" s="189"/>
      <c r="P28" s="189"/>
      <c r="Q28" s="189"/>
      <c r="R28" s="189"/>
      <c r="S28" s="189"/>
      <c r="T28" s="189"/>
      <c r="U28" s="189"/>
      <c r="V28" s="189"/>
      <c r="W28" s="189"/>
      <c r="X28" s="189"/>
      <c r="Y28" s="189"/>
      <c r="Z28" s="189"/>
      <c r="AA28" s="189"/>
      <c r="AB28" s="189"/>
      <c r="AC28" s="189"/>
      <c r="AD28" s="190"/>
      <c r="AE28" s="189"/>
      <c r="AF28" s="190"/>
      <c r="AG28" s="190"/>
      <c r="AH28" s="190"/>
      <c r="AI28" s="190"/>
      <c r="AJ28" s="190"/>
      <c r="AK28" s="190"/>
      <c r="AL28" s="190"/>
      <c r="AM28" s="190"/>
      <c r="AN28" s="190"/>
      <c r="AO28" s="190"/>
      <c r="AP28" s="190"/>
      <c r="AQ28" s="190"/>
      <c r="AR28" s="190"/>
      <c r="AS28" s="190"/>
      <c r="AT28" s="190"/>
      <c r="AU28" s="190"/>
      <c r="AV28" s="190"/>
      <c r="AW28" s="190"/>
      <c r="AX28" s="190"/>
      <c r="AY28" s="190"/>
      <c r="AZ28" s="190"/>
      <c r="BA28" s="190"/>
      <c r="BB28" s="190"/>
      <c r="BC28" s="190"/>
      <c r="BD28" s="2"/>
      <c r="BE28" s="2"/>
    </row>
    <row r="29" spans="1:57" s="30" customFormat="1">
      <c r="A29" s="510" t="s">
        <v>424</v>
      </c>
      <c r="B29" s="525"/>
      <c r="C29" s="525"/>
      <c r="D29" s="525"/>
      <c r="E29" s="525"/>
      <c r="F29" s="525"/>
      <c r="G29" s="525"/>
      <c r="H29" s="525"/>
      <c r="I29" s="525"/>
      <c r="J29" s="525"/>
      <c r="K29" s="525"/>
      <c r="L29" s="525"/>
      <c r="M29" s="525"/>
      <c r="N29" s="525"/>
      <c r="O29" s="525"/>
      <c r="P29" s="525"/>
      <c r="Q29" s="525"/>
      <c r="R29" s="525"/>
      <c r="S29" s="525"/>
      <c r="T29" s="525" t="s">
        <v>578</v>
      </c>
      <c r="U29" s="525"/>
      <c r="V29" s="525"/>
      <c r="W29" s="525"/>
      <c r="X29" s="525"/>
      <c r="Y29" s="525"/>
      <c r="Z29" s="525"/>
      <c r="AA29" s="525"/>
      <c r="AB29" s="525"/>
      <c r="AC29" s="525"/>
      <c r="AD29" s="525"/>
      <c r="AE29" s="526"/>
      <c r="AF29" s="526"/>
      <c r="AG29" s="526"/>
      <c r="AH29" s="526"/>
      <c r="AI29" s="526"/>
      <c r="AJ29" s="526"/>
      <c r="AK29" s="526"/>
      <c r="AL29" s="526"/>
      <c r="AM29" s="526"/>
      <c r="AN29" s="526"/>
      <c r="AO29" s="526"/>
      <c r="AP29" s="526"/>
      <c r="AQ29" s="526"/>
      <c r="AR29" s="526"/>
      <c r="AS29" s="526"/>
      <c r="AT29" s="526"/>
      <c r="AU29" s="526"/>
      <c r="AV29" s="526"/>
      <c r="AW29" s="526"/>
      <c r="AX29" s="526"/>
      <c r="AY29" s="526"/>
      <c r="AZ29" s="526"/>
      <c r="BA29" s="526"/>
      <c r="BB29" s="526"/>
      <c r="BC29" s="526"/>
      <c r="BD29" s="524"/>
      <c r="BE29" s="524"/>
    </row>
    <row r="30" spans="1:57">
      <c r="A30" s="2" t="s">
        <v>762</v>
      </c>
      <c r="B30" s="189"/>
      <c r="C30" s="189"/>
      <c r="D30" s="189"/>
      <c r="E30" s="189"/>
      <c r="F30" s="189"/>
      <c r="G30" s="189"/>
      <c r="H30" s="189"/>
      <c r="I30" s="189"/>
      <c r="J30" s="189"/>
      <c r="K30" s="189"/>
      <c r="L30" s="189"/>
      <c r="M30" s="189"/>
      <c r="N30" s="189"/>
      <c r="O30" s="189"/>
      <c r="P30" s="189"/>
      <c r="Q30" s="189"/>
      <c r="R30" s="189"/>
      <c r="S30" s="189"/>
      <c r="T30" s="189"/>
      <c r="U30" s="189"/>
      <c r="V30" s="189"/>
      <c r="W30" s="190"/>
      <c r="X30" s="269">
        <v>51165.00469546266</v>
      </c>
      <c r="Y30" s="269">
        <v>48406.582691087548</v>
      </c>
      <c r="Z30" s="269">
        <v>46526.704560879509</v>
      </c>
      <c r="AA30" s="269">
        <v>50096.75791975257</v>
      </c>
      <c r="AB30" s="269">
        <v>51293.39205105498</v>
      </c>
      <c r="AC30" s="269">
        <f>AC18</f>
        <v>47313.9294661768</v>
      </c>
      <c r="AD30" s="269">
        <f>AD18</f>
        <v>50033.253772959797</v>
      </c>
      <c r="AE30" s="269">
        <f>AE18</f>
        <v>53724.789620589399</v>
      </c>
      <c r="AF30" s="269">
        <f>AF18</f>
        <v>56153.530464902702</v>
      </c>
      <c r="AG30" s="269">
        <v>55114.726907413387</v>
      </c>
      <c r="AH30" s="269">
        <v>55433.089851472148</v>
      </c>
      <c r="AI30" s="190">
        <f t="shared" ref="AI30:AO30" si="2">AI18</f>
        <v>59157</v>
      </c>
      <c r="AJ30" s="190">
        <f t="shared" si="2"/>
        <v>62692.392380003388</v>
      </c>
      <c r="AK30" s="190">
        <f t="shared" si="2"/>
        <v>64888.432813095009</v>
      </c>
      <c r="AL30" s="190">
        <f t="shared" si="2"/>
        <v>64512.787317906987</v>
      </c>
      <c r="AM30" s="190">
        <f t="shared" si="2"/>
        <v>71660.353665636983</v>
      </c>
      <c r="AN30" s="190">
        <f t="shared" ref="AN30" si="3">AN18</f>
        <v>76441.540934315999</v>
      </c>
      <c r="AO30" s="190">
        <f t="shared" si="2"/>
        <v>76017.490857259982</v>
      </c>
      <c r="AP30" s="190">
        <f t="shared" ref="AP30" si="4">AP18</f>
        <v>81773.153924568993</v>
      </c>
      <c r="AQ30" s="190">
        <f t="shared" ref="AQ30:AR30" si="5">AQ18</f>
        <v>85915.677568233965</v>
      </c>
      <c r="AR30" s="190">
        <f t="shared" si="5"/>
        <v>91053</v>
      </c>
      <c r="AS30" s="190">
        <f t="shared" ref="AS30" si="6">AS18</f>
        <v>91871.379550050056</v>
      </c>
      <c r="AT30" s="190">
        <f t="shared" ref="AT30" si="7">AT18</f>
        <v>97020.754476614995</v>
      </c>
      <c r="AU30" s="190">
        <f t="shared" ref="AU30:AV30" si="8">AU18</f>
        <v>104451.814448598</v>
      </c>
      <c r="AV30" s="190">
        <f t="shared" si="8"/>
        <v>110876.80381784689</v>
      </c>
      <c r="AW30" s="190">
        <f t="shared" ref="AW30:AY30" si="9">AW18</f>
        <v>110314.79130590509</v>
      </c>
      <c r="AX30" s="190">
        <f t="shared" si="9"/>
        <v>113168.47988314697</v>
      </c>
      <c r="AY30" s="190">
        <f t="shared" si="9"/>
        <v>102767.63975801811</v>
      </c>
      <c r="AZ30" s="190">
        <f t="shared" ref="AZ30:BA30" si="10">AZ18</f>
        <v>102972.35068890199</v>
      </c>
      <c r="BA30" s="190">
        <f t="shared" si="10"/>
        <v>92932.501927844976</v>
      </c>
      <c r="BB30" s="190">
        <f t="shared" ref="BB30:BC30" si="11">BB18</f>
        <v>96369.348685824254</v>
      </c>
      <c r="BC30" s="190">
        <f t="shared" si="11"/>
        <v>101631.1571631609</v>
      </c>
      <c r="BD30" s="2"/>
      <c r="BE30" s="104"/>
    </row>
    <row r="31" spans="1:57">
      <c r="A31" s="2" t="s">
        <v>341</v>
      </c>
      <c r="B31" s="189"/>
      <c r="C31" s="189"/>
      <c r="D31" s="189"/>
      <c r="E31" s="189"/>
      <c r="F31" s="189"/>
      <c r="G31" s="189"/>
      <c r="H31" s="189"/>
      <c r="I31" s="189"/>
      <c r="J31" s="189"/>
      <c r="K31" s="189"/>
      <c r="L31" s="189"/>
      <c r="M31" s="189"/>
      <c r="N31" s="189"/>
      <c r="O31" s="189"/>
      <c r="P31" s="189"/>
      <c r="Q31" s="189"/>
      <c r="R31" s="189"/>
      <c r="S31" s="189"/>
      <c r="T31" s="189"/>
      <c r="U31" s="189"/>
      <c r="V31" s="189"/>
      <c r="W31" s="190"/>
      <c r="X31" s="269">
        <v>43342.9</v>
      </c>
      <c r="Y31" s="269">
        <v>41468.400000000001</v>
      </c>
      <c r="Z31" s="269">
        <v>40038.400000000001</v>
      </c>
      <c r="AA31" s="269">
        <v>43438.7</v>
      </c>
      <c r="AB31" s="269">
        <v>44963</v>
      </c>
      <c r="AC31" s="269">
        <f t="shared" ref="AC31:AD39" si="12">AC19</f>
        <v>40185.5</v>
      </c>
      <c r="AD31" s="269">
        <f t="shared" si="12"/>
        <v>42509.7</v>
      </c>
      <c r="AE31" s="269">
        <f t="shared" ref="AE31:AF31" si="13">AE19</f>
        <v>45928.2</v>
      </c>
      <c r="AF31" s="269">
        <f t="shared" si="13"/>
        <v>47780.7</v>
      </c>
      <c r="AG31" s="269">
        <v>46868</v>
      </c>
      <c r="AH31" s="269">
        <v>43870.287814172741</v>
      </c>
      <c r="AI31" s="190">
        <f t="shared" ref="AI31:AJ39" si="14">AI19</f>
        <v>46773</v>
      </c>
      <c r="AJ31" s="190">
        <f t="shared" si="14"/>
        <v>49904.113037262767</v>
      </c>
      <c r="AK31" s="190">
        <f t="shared" ref="AK31:AL31" si="15">AK19</f>
        <v>51613.229861396001</v>
      </c>
      <c r="AL31" s="190">
        <f t="shared" si="15"/>
        <v>51694.638334846</v>
      </c>
      <c r="AM31" s="190">
        <f t="shared" ref="AM31:AO31" si="16">AM19</f>
        <v>57678.744026045999</v>
      </c>
      <c r="AN31" s="190">
        <f t="shared" ref="AN31" si="17">AN19</f>
        <v>61517.747833607005</v>
      </c>
      <c r="AO31" s="190">
        <f t="shared" si="16"/>
        <v>61538.064936579001</v>
      </c>
      <c r="AP31" s="190">
        <f t="shared" ref="AP31" si="18">AP19</f>
        <v>66394.547087939005</v>
      </c>
      <c r="AQ31" s="190">
        <f t="shared" ref="AQ31:AR31" si="19">AQ19</f>
        <v>69933.167118079</v>
      </c>
      <c r="AR31" s="190">
        <f t="shared" si="19"/>
        <v>74330</v>
      </c>
      <c r="AS31" s="190">
        <f t="shared" ref="AS31" si="20">AS19</f>
        <v>74990.290566034993</v>
      </c>
      <c r="AT31" s="190">
        <f t="shared" ref="AT31" si="21">AT19</f>
        <v>78915.317037497996</v>
      </c>
      <c r="AU31" s="190">
        <f t="shared" ref="AU31:AV31" si="22">AU19</f>
        <v>85599.447254701998</v>
      </c>
      <c r="AV31" s="190">
        <f t="shared" si="22"/>
        <v>91661.192733627991</v>
      </c>
      <c r="AW31" s="190">
        <f t="shared" ref="AW31:AY31" si="23">AW19</f>
        <v>90754.712830976001</v>
      </c>
      <c r="AX31" s="190">
        <f t="shared" si="23"/>
        <v>92907.081016992001</v>
      </c>
      <c r="AY31" s="190">
        <f t="shared" si="23"/>
        <v>84121.865458636996</v>
      </c>
      <c r="AZ31" s="190">
        <f t="shared" ref="AZ31:BA31" si="24">AZ19</f>
        <v>84836.292273710002</v>
      </c>
      <c r="BA31" s="190">
        <f t="shared" si="24"/>
        <v>75969.783761909013</v>
      </c>
      <c r="BB31" s="190">
        <f t="shared" ref="BB31:BC31" si="25">BB19</f>
        <v>78679.909813754959</v>
      </c>
      <c r="BC31" s="190">
        <f t="shared" si="25"/>
        <v>82929.733820777401</v>
      </c>
      <c r="BD31" s="2"/>
      <c r="BE31" s="2"/>
    </row>
    <row r="32" spans="1:57">
      <c r="A32" s="2" t="s">
        <v>37</v>
      </c>
      <c r="B32" s="189"/>
      <c r="C32" s="189"/>
      <c r="D32" s="189"/>
      <c r="E32" s="189"/>
      <c r="F32" s="189"/>
      <c r="G32" s="189"/>
      <c r="H32" s="189"/>
      <c r="I32" s="189"/>
      <c r="J32" s="189"/>
      <c r="K32" s="189"/>
      <c r="L32" s="189"/>
      <c r="M32" s="189"/>
      <c r="N32" s="189"/>
      <c r="O32" s="189"/>
      <c r="P32" s="189"/>
      <c r="Q32" s="189"/>
      <c r="R32" s="189"/>
      <c r="S32" s="189"/>
      <c r="T32" s="189"/>
      <c r="U32" s="189"/>
      <c r="V32" s="189"/>
      <c r="W32" s="190"/>
      <c r="X32" s="269">
        <v>12753.748298083972</v>
      </c>
      <c r="Y32" s="269">
        <v>12377.650338533578</v>
      </c>
      <c r="Z32" s="269">
        <v>13453.447154367735</v>
      </c>
      <c r="AA32" s="269">
        <v>16656.874720974007</v>
      </c>
      <c r="AB32" s="269">
        <v>18187.919616880979</v>
      </c>
      <c r="AC32" s="269">
        <f t="shared" si="12"/>
        <v>17861.326660631566</v>
      </c>
      <c r="AD32" s="269">
        <f t="shared" si="12"/>
        <v>19220.899901304449</v>
      </c>
      <c r="AE32" s="269">
        <f t="shared" ref="AE32:AF32" si="26">AE20</f>
        <v>20934.255039373929</v>
      </c>
      <c r="AF32" s="269">
        <f t="shared" si="26"/>
        <v>21868.119607931985</v>
      </c>
      <c r="AG32" s="269">
        <v>21608.266769026875</v>
      </c>
      <c r="AH32" s="269">
        <v>24205.991842561514</v>
      </c>
      <c r="AI32" s="190">
        <f t="shared" si="14"/>
        <v>26082</v>
      </c>
      <c r="AJ32" s="190">
        <f t="shared" si="14"/>
        <v>28330.852402844761</v>
      </c>
      <c r="AK32" s="190">
        <f t="shared" ref="AK32:AL32" si="27">AK20</f>
        <v>28640.351451533032</v>
      </c>
      <c r="AL32" s="190">
        <f t="shared" si="27"/>
        <v>28425.237581814989</v>
      </c>
      <c r="AM32" s="190">
        <f t="shared" ref="AM32:AO32" si="28">AM20</f>
        <v>32452.604396361967</v>
      </c>
      <c r="AN32" s="190">
        <f t="shared" ref="AN32" si="29">AN20</f>
        <v>35852.111383891999</v>
      </c>
      <c r="AO32" s="190">
        <f t="shared" si="28"/>
        <v>36250.037016255985</v>
      </c>
      <c r="AP32" s="190">
        <f t="shared" ref="AP32" si="30">AP20</f>
        <v>39272.835667117004</v>
      </c>
      <c r="AQ32" s="190">
        <f t="shared" ref="AQ32:AR32" si="31">AQ20</f>
        <v>41743.257718275971</v>
      </c>
      <c r="AR32" s="190">
        <f t="shared" si="31"/>
        <v>45189.595548540012</v>
      </c>
      <c r="AS32" s="190">
        <f t="shared" ref="AS32" si="32">AS20</f>
        <v>45865.058372405023</v>
      </c>
      <c r="AT32" s="190">
        <f t="shared" ref="AT32" si="33">AT20</f>
        <v>47381.327488894975</v>
      </c>
      <c r="AU32" s="190">
        <f t="shared" ref="AU32:AV32" si="34">AU20</f>
        <v>51251.757737889995</v>
      </c>
      <c r="AV32" s="190">
        <f t="shared" si="34"/>
        <v>54467.657951169866</v>
      </c>
      <c r="AW32" s="190">
        <f t="shared" ref="AW32:AY32" si="35">AW20</f>
        <v>54180.045980566138</v>
      </c>
      <c r="AX32" s="190">
        <f t="shared" si="35"/>
        <v>56030.824992768969</v>
      </c>
      <c r="AY32" s="190">
        <f t="shared" si="35"/>
        <v>51157.696750332107</v>
      </c>
      <c r="AZ32" s="190">
        <f t="shared" ref="AZ32:BA32" si="36">AZ20</f>
        <v>50590.337462133022</v>
      </c>
      <c r="BA32" s="190">
        <f t="shared" si="36"/>
        <v>43236.906250850938</v>
      </c>
      <c r="BB32" s="190">
        <f t="shared" ref="BB32:BC32" si="37">BB20</f>
        <v>43616.529097564257</v>
      </c>
      <c r="BC32" s="190">
        <f t="shared" si="37"/>
        <v>47258.500766475518</v>
      </c>
      <c r="BD32" s="2"/>
      <c r="BE32" s="104"/>
    </row>
    <row r="33" spans="1:57">
      <c r="A33" s="2" t="s">
        <v>342</v>
      </c>
      <c r="B33" s="189"/>
      <c r="C33" s="189"/>
      <c r="D33" s="189"/>
      <c r="E33" s="189"/>
      <c r="F33" s="189"/>
      <c r="G33" s="189"/>
      <c r="H33" s="189"/>
      <c r="I33" s="189"/>
      <c r="J33" s="189"/>
      <c r="K33" s="189"/>
      <c r="L33" s="189"/>
      <c r="M33" s="189"/>
      <c r="N33" s="189"/>
      <c r="O33" s="189"/>
      <c r="P33" s="189"/>
      <c r="Q33" s="189"/>
      <c r="R33" s="189"/>
      <c r="S33" s="189"/>
      <c r="T33" s="117"/>
      <c r="U33" s="117"/>
      <c r="V33" s="117"/>
      <c r="W33" s="116"/>
      <c r="X33" s="279">
        <v>0.24926702096472164</v>
      </c>
      <c r="Y33" s="279">
        <v>0.25570180025975081</v>
      </c>
      <c r="Z33" s="279">
        <v>0.28915538466224483</v>
      </c>
      <c r="AA33" s="279">
        <v>0.33249406573686469</v>
      </c>
      <c r="AB33" s="279">
        <v>0.35458601760588571</v>
      </c>
      <c r="AC33" s="279">
        <v>0.36028675599157967</v>
      </c>
      <c r="AD33" s="279">
        <f>AD21</f>
        <v>0.38416250097434762</v>
      </c>
      <c r="AE33" s="279">
        <f>AE21</f>
        <v>0.38965727343399631</v>
      </c>
      <c r="AF33" s="279">
        <f>AF21</f>
        <v>0.38943445633574336</v>
      </c>
      <c r="AG33" s="279">
        <v>0.39205976299812501</v>
      </c>
      <c r="AH33" s="279">
        <v>0.43667044192231097</v>
      </c>
      <c r="AI33" s="116">
        <f t="shared" si="14"/>
        <v>0.44089456869009586</v>
      </c>
      <c r="AJ33" s="116">
        <f t="shared" si="14"/>
        <v>0.45190255671087265</v>
      </c>
      <c r="AK33" s="116">
        <f t="shared" ref="AK33:AL33" si="38">AK21</f>
        <v>0.44137838147561453</v>
      </c>
      <c r="AL33" s="116">
        <f t="shared" si="38"/>
        <v>0.44061400481335145</v>
      </c>
      <c r="AM33" s="116">
        <f t="shared" ref="AM33:AO33" si="39">AM21</f>
        <v>0.45286693040595249</v>
      </c>
      <c r="AN33" s="116">
        <f t="shared" ref="AN33" si="40">AN21</f>
        <v>0.46901345715543175</v>
      </c>
      <c r="AO33" s="116">
        <f t="shared" si="39"/>
        <v>0.47686442432470733</v>
      </c>
      <c r="AP33" s="116">
        <f t="shared" ref="AP33" si="41">AP21</f>
        <v>0.48026563465246708</v>
      </c>
      <c r="AQ33" s="116">
        <f t="shared" ref="AQ33:AR33" si="42">AQ21</f>
        <v>0.48586310321679771</v>
      </c>
      <c r="AR33" s="116">
        <f t="shared" si="42"/>
        <v>0.49629990827913428</v>
      </c>
      <c r="AS33" s="116">
        <f t="shared" ref="AS33" si="43">AS21</f>
        <v>0.49923119253280041</v>
      </c>
      <c r="AT33" s="116">
        <f t="shared" ref="AT33" si="44">AT21</f>
        <v>0.49923119253280041</v>
      </c>
      <c r="AU33" s="116">
        <f t="shared" ref="AU33:AV33" si="45">AU21</f>
        <v>0.49067604374774743</v>
      </c>
      <c r="AV33" s="116">
        <f t="shared" si="45"/>
        <v>0.49124705708671573</v>
      </c>
      <c r="AW33" s="116">
        <f t="shared" ref="AW33:AY33" si="46">AW21</f>
        <v>0.49114035696558406</v>
      </c>
      <c r="AX33" s="116">
        <f t="shared" si="46"/>
        <v>0.49510981370982499</v>
      </c>
      <c r="AY33" s="116">
        <f t="shared" si="46"/>
        <v>0.49779966603096665</v>
      </c>
      <c r="AZ33" s="116">
        <f t="shared" ref="AZ33:BA33" si="47">AZ21</f>
        <v>0.49130020946084391</v>
      </c>
      <c r="BA33" s="116">
        <f t="shared" si="47"/>
        <v>0.4652536465294913</v>
      </c>
      <c r="BB33" s="116">
        <f t="shared" ref="BB33:BC33" si="48">BB21</f>
        <v>0.45260034702495006</v>
      </c>
      <c r="BC33" s="116">
        <f t="shared" si="48"/>
        <v>0.46500012482004588</v>
      </c>
      <c r="BD33" s="2"/>
      <c r="BE33" s="2"/>
    </row>
    <row r="34" spans="1:57">
      <c r="A34" s="2" t="s">
        <v>38</v>
      </c>
      <c r="B34" s="189"/>
      <c r="C34" s="189"/>
      <c r="D34" s="189"/>
      <c r="E34" s="189"/>
      <c r="F34" s="189"/>
      <c r="G34" s="189"/>
      <c r="H34" s="189"/>
      <c r="I34" s="189"/>
      <c r="J34" s="189"/>
      <c r="K34" s="189"/>
      <c r="L34" s="189"/>
      <c r="M34" s="189"/>
      <c r="N34" s="189"/>
      <c r="O34" s="189"/>
      <c r="P34" s="189"/>
      <c r="Q34" s="189"/>
      <c r="R34" s="189"/>
      <c r="S34" s="189"/>
      <c r="T34" s="189"/>
      <c r="U34" s="189"/>
      <c r="V34" s="189"/>
      <c r="W34" s="190"/>
      <c r="X34" s="269">
        <v>3462.651651109165</v>
      </c>
      <c r="Y34" s="269">
        <v>3598.7105791790141</v>
      </c>
      <c r="Z34" s="269">
        <v>5261.7701948862423</v>
      </c>
      <c r="AA34" s="269">
        <v>8531.5751245134543</v>
      </c>
      <c r="AB34" s="269">
        <v>11039.414612995981</v>
      </c>
      <c r="AC34" s="269">
        <f t="shared" si="12"/>
        <v>11207.964456160316</v>
      </c>
      <c r="AD34" s="269">
        <f t="shared" si="12"/>
        <v>11838.981690554079</v>
      </c>
      <c r="AE34" s="269">
        <f t="shared" ref="AE34:AF34" si="49">AE22</f>
        <v>13547.792272475173</v>
      </c>
      <c r="AF34" s="269">
        <f t="shared" si="49"/>
        <v>13613.775871372163</v>
      </c>
      <c r="AG34" s="269">
        <v>13106.669706542438</v>
      </c>
      <c r="AH34" s="269">
        <v>13762.064136025412</v>
      </c>
      <c r="AI34" s="190">
        <f t="shared" si="14"/>
        <v>15344</v>
      </c>
      <c r="AJ34" s="190">
        <f t="shared" si="14"/>
        <v>17397.68580397054</v>
      </c>
      <c r="AK34" s="190">
        <f t="shared" ref="AK34:AL34" si="50">AK22</f>
        <v>17627.00488302204</v>
      </c>
      <c r="AL34" s="190">
        <f t="shared" si="50"/>
        <v>15932.768747483991</v>
      </c>
      <c r="AM34" s="190">
        <f t="shared" ref="AM34:AO34" si="51">AM22</f>
        <v>19952.228861035968</v>
      </c>
      <c r="AN34" s="190">
        <f t="shared" ref="AN34" si="52">AN22</f>
        <v>22745.400508046998</v>
      </c>
      <c r="AO34" s="190">
        <f t="shared" si="51"/>
        <v>23327.078985778993</v>
      </c>
      <c r="AP34" s="190">
        <f t="shared" ref="AP34" si="53">AP22</f>
        <v>25925.928155144004</v>
      </c>
      <c r="AQ34" s="190">
        <f t="shared" ref="AQ34:AR34" si="54">AQ22</f>
        <v>28057.272809669965</v>
      </c>
      <c r="AR34" s="190">
        <f t="shared" si="54"/>
        <v>30938.775270948012</v>
      </c>
      <c r="AS34" s="190">
        <f t="shared" ref="AS34" si="55">AS22</f>
        <v>31663.551339893016</v>
      </c>
      <c r="AT34" s="190">
        <f t="shared" ref="AT34" si="56">AT22</f>
        <v>32807.270869895976</v>
      </c>
      <c r="AU34" s="190">
        <f t="shared" ref="AU34:AV34" si="57">AU22</f>
        <v>35669.158741014995</v>
      </c>
      <c r="AV34" s="190">
        <f t="shared" si="57"/>
        <v>36674.038935295859</v>
      </c>
      <c r="AW34" s="190">
        <f t="shared" ref="AW34:AY34" si="58">AW22</f>
        <v>36104.48450088915</v>
      </c>
      <c r="AX34" s="190">
        <f t="shared" si="58"/>
        <v>37916.951422136968</v>
      </c>
      <c r="AY34" s="190">
        <f t="shared" si="58"/>
        <v>34898.181808970105</v>
      </c>
      <c r="AZ34" s="190">
        <f t="shared" ref="AZ34:BA34" si="59">AZ22</f>
        <v>34000.886304886022</v>
      </c>
      <c r="BA34" s="190">
        <f t="shared" si="59"/>
        <v>28810.893333455933</v>
      </c>
      <c r="BB34" s="190">
        <f t="shared" ref="BB34:BC34" si="60">BB22</f>
        <v>27932.863057466711</v>
      </c>
      <c r="BC34" s="190">
        <f t="shared" si="60"/>
        <v>31017.956108219274</v>
      </c>
      <c r="BD34" s="2"/>
      <c r="BE34" s="104"/>
    </row>
    <row r="35" spans="1:57">
      <c r="A35" s="2" t="s">
        <v>343</v>
      </c>
      <c r="B35" s="189"/>
      <c r="C35" s="189"/>
      <c r="D35" s="189"/>
      <c r="E35" s="189"/>
      <c r="F35" s="189"/>
      <c r="G35" s="189"/>
      <c r="H35" s="189"/>
      <c r="I35" s="189"/>
      <c r="J35" s="189"/>
      <c r="K35" s="189"/>
      <c r="L35" s="189"/>
      <c r="M35" s="189"/>
      <c r="N35" s="189"/>
      <c r="O35" s="189"/>
      <c r="P35" s="189"/>
      <c r="Q35" s="189"/>
      <c r="R35" s="189"/>
      <c r="S35" s="189"/>
      <c r="T35" s="189"/>
      <c r="U35" s="189"/>
      <c r="V35" s="189"/>
      <c r="W35" s="189"/>
      <c r="X35" s="269">
        <v>-3113.1593864110723</v>
      </c>
      <c r="Y35" s="269">
        <v>2587.4949955677857</v>
      </c>
      <c r="Z35" s="269">
        <v>7554.4895007986133</v>
      </c>
      <c r="AA35" s="269">
        <v>5649.9937908178545</v>
      </c>
      <c r="AB35" s="269">
        <v>7594.8582614169736</v>
      </c>
      <c r="AC35" s="269">
        <f t="shared" si="12"/>
        <v>3558.967869929098</v>
      </c>
      <c r="AD35" s="269">
        <f t="shared" si="12"/>
        <v>7551.7358315167194</v>
      </c>
      <c r="AE35" s="269">
        <f t="shared" ref="AE35:AF35" si="61">AE23</f>
        <v>4052.9717454971687</v>
      </c>
      <c r="AF35" s="269">
        <f t="shared" si="61"/>
        <v>9506.401030951447</v>
      </c>
      <c r="AG35" s="269">
        <v>9203.4275112802243</v>
      </c>
      <c r="AH35" s="269">
        <v>8054.8968585949979</v>
      </c>
      <c r="AI35" s="190">
        <f t="shared" si="14"/>
        <v>10633</v>
      </c>
      <c r="AJ35" s="190">
        <f t="shared" si="14"/>
        <v>11829.187863265332</v>
      </c>
      <c r="AK35" s="190">
        <f t="shared" ref="AK35:AL35" si="62">AK23</f>
        <v>6921.5072146920393</v>
      </c>
      <c r="AL35" s="190">
        <f t="shared" si="62"/>
        <v>8386.0428078699915</v>
      </c>
      <c r="AM35" s="190">
        <f t="shared" ref="AM35:AO35" si="63">AM23</f>
        <v>13018.606606826968</v>
      </c>
      <c r="AN35" s="190">
        <f t="shared" ref="AN35" si="64">AN23</f>
        <v>13222.224953258998</v>
      </c>
      <c r="AO35" s="190">
        <f t="shared" si="63"/>
        <v>15662.350967222992</v>
      </c>
      <c r="AP35" s="190">
        <f t="shared" ref="AP35" si="65">AP23</f>
        <v>18682.546486510004</v>
      </c>
      <c r="AQ35" s="190">
        <f t="shared" ref="AQ35:AR35" si="66">AQ23</f>
        <v>22706.510644103968</v>
      </c>
      <c r="AR35" s="190">
        <f t="shared" si="66"/>
        <v>21724.109257386008</v>
      </c>
      <c r="AS35" s="190">
        <f t="shared" ref="AS35" si="67">AS23</f>
        <v>23175.390735781017</v>
      </c>
      <c r="AT35" s="190">
        <f t="shared" ref="AT35" si="68">AT23</f>
        <v>21208.855069253987</v>
      </c>
      <c r="AU35" s="190">
        <f t="shared" ref="AU35:AV35" si="69">AU23</f>
        <v>18864.608449846986</v>
      </c>
      <c r="AV35" s="190">
        <f t="shared" si="69"/>
        <v>23370.301025781853</v>
      </c>
      <c r="AW35" s="190">
        <f t="shared" ref="AW35:AY35" si="70">AW23</f>
        <v>19125.719918827155</v>
      </c>
      <c r="AX35" s="190">
        <f t="shared" si="70"/>
        <v>20530.322154781974</v>
      </c>
      <c r="AY35" s="190">
        <f t="shared" si="70"/>
        <v>19130.515209532088</v>
      </c>
      <c r="AZ35" s="190">
        <f t="shared" ref="AZ35:BA35" si="71">AZ23</f>
        <v>4568.745106986029</v>
      </c>
      <c r="BA35" s="190">
        <f t="shared" si="71"/>
        <v>16967.173169438905</v>
      </c>
      <c r="BB35" s="190">
        <f t="shared" ref="BB35:BC35" si="72">BB23</f>
        <v>16293.722708280256</v>
      </c>
      <c r="BC35" s="190">
        <f t="shared" si="72"/>
        <v>17871.099553270149</v>
      </c>
      <c r="BD35" s="2"/>
      <c r="BE35" s="104"/>
    </row>
    <row r="36" spans="1:57">
      <c r="A36" s="2" t="s">
        <v>344</v>
      </c>
      <c r="B36" s="189"/>
      <c r="C36" s="189"/>
      <c r="D36" s="189"/>
      <c r="E36" s="189"/>
      <c r="F36" s="189"/>
      <c r="G36" s="189"/>
      <c r="H36" s="189"/>
      <c r="I36" s="189"/>
      <c r="J36" s="189"/>
      <c r="K36" s="189"/>
      <c r="L36" s="189"/>
      <c r="M36" s="189"/>
      <c r="N36" s="189"/>
      <c r="O36" s="189"/>
      <c r="P36" s="189"/>
      <c r="Q36" s="189"/>
      <c r="R36" s="189"/>
      <c r="S36" s="189"/>
      <c r="T36" s="189"/>
      <c r="U36" s="189"/>
      <c r="V36" s="189"/>
      <c r="W36" s="189"/>
      <c r="X36" s="269">
        <v>-5741.2717712267367</v>
      </c>
      <c r="Y36" s="269">
        <v>-136.59705686497637</v>
      </c>
      <c r="Z36" s="269">
        <v>3796.5420396009413</v>
      </c>
      <c r="AA36" s="269">
        <v>3567.4801014684354</v>
      </c>
      <c r="AB36" s="269">
        <v>5881.5847153429731</v>
      </c>
      <c r="AC36" s="269">
        <f t="shared" si="12"/>
        <v>8647</v>
      </c>
      <c r="AD36" s="269">
        <f t="shared" si="12"/>
        <v>3938.8849641134684</v>
      </c>
      <c r="AE36" s="269">
        <f t="shared" ref="AE36:AF36" si="73">AE24</f>
        <v>2845</v>
      </c>
      <c r="AF36" s="269">
        <f t="shared" si="73"/>
        <v>2255.0561941999199</v>
      </c>
      <c r="AG36" s="269">
        <v>4341.8227570343652</v>
      </c>
      <c r="AH36" s="269">
        <v>2924.1300067933407</v>
      </c>
      <c r="AI36" s="190">
        <f t="shared" si="14"/>
        <v>3048</v>
      </c>
      <c r="AJ36" s="190">
        <f t="shared" si="14"/>
        <v>2462.5364080469953</v>
      </c>
      <c r="AK36" s="190">
        <f t="shared" ref="AK36:AL36" si="74">AK24</f>
        <v>2707</v>
      </c>
      <c r="AL36" s="190">
        <f t="shared" si="74"/>
        <v>2175.7640767192502</v>
      </c>
      <c r="AM36" s="190">
        <f t="shared" ref="AM36:AO36" si="75">AM24</f>
        <v>3659.3843296127502</v>
      </c>
      <c r="AN36" s="190">
        <f t="shared" ref="AN36" si="76">AN24</f>
        <v>3016.769455338997</v>
      </c>
      <c r="AO36" s="190">
        <f t="shared" si="75"/>
        <v>4919.2500143419893</v>
      </c>
      <c r="AP36" s="190">
        <f t="shared" ref="AP36" si="77">AP24</f>
        <v>4960.5965010890031</v>
      </c>
      <c r="AQ36" s="190">
        <f t="shared" ref="AQ36:AR36" si="78">AQ24</f>
        <v>6577.9524669209695</v>
      </c>
      <c r="AR36" s="190">
        <f t="shared" si="78"/>
        <v>6227.0722558230082</v>
      </c>
      <c r="AS36" s="190">
        <f t="shared" ref="AS36" si="79">AS24</f>
        <v>7169.1641924170144</v>
      </c>
      <c r="AT36" s="190">
        <f t="shared" ref="AT36" si="80">AT24</f>
        <v>6120.409974289988</v>
      </c>
      <c r="AU36" s="190">
        <f t="shared" ref="AU36:AV36" si="81">AU24</f>
        <v>4825</v>
      </c>
      <c r="AV36" s="190">
        <f t="shared" si="81"/>
        <v>6924.0673167358491</v>
      </c>
      <c r="AW36" s="190">
        <f t="shared" ref="AW36:AY36" si="82">AW24</f>
        <v>4854</v>
      </c>
      <c r="AX36" s="190">
        <f t="shared" si="82"/>
        <v>6742.4845738209715</v>
      </c>
      <c r="AY36" s="190">
        <f t="shared" si="82"/>
        <v>5328.8170911420912</v>
      </c>
      <c r="AZ36" s="190">
        <f t="shared" ref="AZ36:BA36" si="83">AZ24</f>
        <v>75.964334203021281</v>
      </c>
      <c r="BA36" s="190">
        <f t="shared" si="83"/>
        <v>5320.1080055579132</v>
      </c>
      <c r="BB36" s="190">
        <f t="shared" ref="BB36:BC36" si="84">BB24</f>
        <v>4016.874354787411</v>
      </c>
      <c r="BC36" s="190">
        <f t="shared" si="84"/>
        <v>4553.5305191217758</v>
      </c>
      <c r="BD36" s="2"/>
      <c r="BE36" s="104"/>
    </row>
    <row r="37" spans="1:57">
      <c r="A37" s="2" t="s">
        <v>39</v>
      </c>
      <c r="B37" s="189"/>
      <c r="C37" s="189"/>
      <c r="D37" s="189"/>
      <c r="E37" s="189"/>
      <c r="F37" s="189"/>
      <c r="G37" s="189"/>
      <c r="H37" s="189"/>
      <c r="I37" s="189"/>
      <c r="J37" s="189"/>
      <c r="K37" s="189"/>
      <c r="L37" s="189"/>
      <c r="M37" s="189"/>
      <c r="N37" s="189"/>
      <c r="O37" s="189"/>
      <c r="P37" s="189"/>
      <c r="Q37" s="189"/>
      <c r="R37" s="189"/>
      <c r="S37" s="189"/>
      <c r="T37" s="189"/>
      <c r="U37" s="189"/>
      <c r="V37" s="189"/>
      <c r="W37" s="189"/>
      <c r="X37" s="269">
        <v>4366.2131277775252</v>
      </c>
      <c r="Y37" s="269">
        <v>9032.7416779837931</v>
      </c>
      <c r="Z37" s="269">
        <v>3160.9451196352893</v>
      </c>
      <c r="AA37" s="269">
        <v>3130.6016856514352</v>
      </c>
      <c r="AB37" s="269">
        <v>4667.3656491992861</v>
      </c>
      <c r="AC37" s="269">
        <f t="shared" si="12"/>
        <v>16299.817125767253</v>
      </c>
      <c r="AD37" s="269">
        <f t="shared" si="12"/>
        <v>3295.7369373321226</v>
      </c>
      <c r="AE37" s="269">
        <f t="shared" ref="AE37:AF37" si="85">AE25</f>
        <v>7386</v>
      </c>
      <c r="AF37" s="269">
        <f t="shared" si="85"/>
        <v>7251.3448367515266</v>
      </c>
      <c r="AG37" s="269">
        <v>21495.79104192536</v>
      </c>
      <c r="AH37" s="269">
        <v>6926.9286390100406</v>
      </c>
      <c r="AI37" s="190">
        <f t="shared" si="14"/>
        <v>10326</v>
      </c>
      <c r="AJ37" s="190">
        <f t="shared" si="14"/>
        <v>10676.807801334775</v>
      </c>
      <c r="AK37" s="190">
        <f t="shared" ref="AK37:AL37" si="86">AK25</f>
        <v>17909</v>
      </c>
      <c r="AL37" s="190">
        <f t="shared" si="86"/>
        <v>5003.817500000001</v>
      </c>
      <c r="AM37" s="190">
        <f t="shared" ref="AM37:AO37" si="87">AM25</f>
        <v>11145.749999999998</v>
      </c>
      <c r="AN37" s="190">
        <f t="shared" ref="AN37" si="88">AN25</f>
        <v>13822.027083333334</v>
      </c>
      <c r="AO37" s="190">
        <f t="shared" si="87"/>
        <v>15457.332500000004</v>
      </c>
      <c r="AP37" s="190">
        <f t="shared" ref="AP37" si="89">AP25</f>
        <v>7794.7100000000009</v>
      </c>
      <c r="AQ37" s="190">
        <f t="shared" ref="AQ37:AR37" si="90">AQ25</f>
        <v>10315.12138447753</v>
      </c>
      <c r="AR37" s="190">
        <f t="shared" si="90"/>
        <v>13965.082083333333</v>
      </c>
      <c r="AS37" s="190">
        <f t="shared" ref="AS37" si="91">AS25</f>
        <v>16815.837180886789</v>
      </c>
      <c r="AT37" s="190">
        <f t="shared" ref="AT37" si="92">AT25</f>
        <v>10880.382500000002</v>
      </c>
      <c r="AU37" s="190">
        <f t="shared" ref="AU37:AV37" si="93">AU25</f>
        <v>13500</v>
      </c>
      <c r="AV37" s="190">
        <f t="shared" si="93"/>
        <v>12077.252950000004</v>
      </c>
      <c r="AW37" s="190">
        <f t="shared" ref="AW37:AY37" si="94">AW25</f>
        <v>23943</v>
      </c>
      <c r="AX37" s="190">
        <f t="shared" si="94"/>
        <v>11502.7955</v>
      </c>
      <c r="AY37" s="190">
        <f t="shared" si="94"/>
        <v>14187.842833333334</v>
      </c>
      <c r="AZ37" s="190">
        <f t="shared" ref="AZ37:BA37" si="95">AZ25</f>
        <v>15145.604716666669</v>
      </c>
      <c r="BA37" s="190">
        <f t="shared" si="95"/>
        <v>20192.170050000001</v>
      </c>
      <c r="BB37" s="190">
        <f t="shared" ref="BB37:BC37" si="96">BB25</f>
        <v>12253.927350000002</v>
      </c>
      <c r="BC37" s="190">
        <f t="shared" si="96"/>
        <v>14150.262966666667</v>
      </c>
      <c r="BD37" s="2"/>
      <c r="BE37" s="2"/>
    </row>
    <row r="38" spans="1:57">
      <c r="A38" s="2" t="s">
        <v>345</v>
      </c>
      <c r="B38" s="189"/>
      <c r="C38" s="189"/>
      <c r="D38" s="189"/>
      <c r="E38" s="189"/>
      <c r="F38" s="189"/>
      <c r="G38" s="189"/>
      <c r="H38" s="189"/>
      <c r="I38" s="189"/>
      <c r="J38" s="189"/>
      <c r="K38" s="189"/>
      <c r="L38" s="189"/>
      <c r="M38" s="189"/>
      <c r="N38" s="189"/>
      <c r="O38" s="189"/>
      <c r="P38" s="189"/>
      <c r="Q38" s="189"/>
      <c r="R38" s="189"/>
      <c r="S38" s="189"/>
      <c r="T38" s="189"/>
      <c r="U38" s="189"/>
      <c r="V38" s="189"/>
      <c r="W38" s="189"/>
      <c r="X38" s="268">
        <v>8387.535170306448</v>
      </c>
      <c r="Y38" s="268">
        <v>3344.9086605497851</v>
      </c>
      <c r="Z38" s="268">
        <v>10292.502034732446</v>
      </c>
      <c r="AA38" s="268">
        <v>13526.273035322571</v>
      </c>
      <c r="AB38" s="268">
        <v>13520.553967681693</v>
      </c>
      <c r="AC38" s="269">
        <f t="shared" si="12"/>
        <v>1611.0242485497783</v>
      </c>
      <c r="AD38" s="269">
        <f t="shared" si="12"/>
        <v>15925.162963972325</v>
      </c>
      <c r="AE38" s="269">
        <f t="shared" ref="AE38:AF38" si="97">AE26</f>
        <v>13548</v>
      </c>
      <c r="AF38" s="269">
        <f t="shared" si="97"/>
        <v>9670.0822986672993</v>
      </c>
      <c r="AG38" s="269">
        <v>112.47572710151667</v>
      </c>
      <c r="AH38" s="269">
        <v>17279.063203551475</v>
      </c>
      <c r="AI38" s="190">
        <f t="shared" si="14"/>
        <v>15756</v>
      </c>
      <c r="AJ38" s="190">
        <f t="shared" si="14"/>
        <v>17654.044601509984</v>
      </c>
      <c r="AK38" s="190">
        <f t="shared" ref="AK38:AL38" si="98">AK26</f>
        <v>10731</v>
      </c>
      <c r="AL38" s="190">
        <f t="shared" si="98"/>
        <v>23421.420081814987</v>
      </c>
      <c r="AM38" s="190">
        <f t="shared" ref="AM38:AO38" si="99">AM26</f>
        <v>21306.854396361967</v>
      </c>
      <c r="AN38" s="190">
        <f t="shared" ref="AN38" si="100">AN26</f>
        <v>22030.084300558665</v>
      </c>
      <c r="AO38" s="190">
        <f t="shared" si="99"/>
        <v>20792.704516255981</v>
      </c>
      <c r="AP38" s="190">
        <f t="shared" ref="AP38" si="101">AP26</f>
        <v>31478.125667117005</v>
      </c>
      <c r="AQ38" s="190">
        <f t="shared" ref="AQ38:AR38" si="102">AQ26</f>
        <v>31428.136333798437</v>
      </c>
      <c r="AR38" s="190">
        <f t="shared" si="102"/>
        <v>31224.513465206677</v>
      </c>
      <c r="AS38" s="190">
        <f t="shared" ref="AS38" si="103">AS26</f>
        <v>29049.221191518234</v>
      </c>
      <c r="AT38" s="190">
        <f t="shared" ref="AT38" si="104">AT26</f>
        <v>36500.944988894975</v>
      </c>
      <c r="AU38" s="190">
        <f t="shared" ref="AU38:AV38" si="105">AU26</f>
        <v>37752</v>
      </c>
      <c r="AV38" s="190">
        <f t="shared" si="105"/>
        <v>42390.405001169864</v>
      </c>
      <c r="AW38" s="190">
        <f t="shared" ref="AW38:AY38" si="106">AW26</f>
        <v>30237</v>
      </c>
      <c r="AX38" s="190">
        <f t="shared" si="106"/>
        <v>44528.029492768968</v>
      </c>
      <c r="AY38" s="190">
        <f t="shared" si="106"/>
        <v>36969.853916998771</v>
      </c>
      <c r="AZ38" s="190">
        <f t="shared" ref="AZ38:BA38" si="107">AZ26</f>
        <v>35444.732745466354</v>
      </c>
      <c r="BA38" s="190">
        <f t="shared" si="107"/>
        <v>23044.736200850937</v>
      </c>
      <c r="BB38" s="190">
        <f t="shared" ref="BB38:BC38" si="108">BB26</f>
        <v>31362.601747564255</v>
      </c>
      <c r="BC38" s="190">
        <f t="shared" si="108"/>
        <v>33108.537799808859</v>
      </c>
      <c r="BD38" s="2"/>
      <c r="BE38" s="2"/>
    </row>
    <row r="39" spans="1:57">
      <c r="A39" s="2" t="s">
        <v>346</v>
      </c>
      <c r="B39" s="189"/>
      <c r="C39" s="189"/>
      <c r="D39" s="189"/>
      <c r="E39" s="189"/>
      <c r="F39" s="189"/>
      <c r="G39" s="189"/>
      <c r="H39" s="189"/>
      <c r="I39" s="189"/>
      <c r="J39" s="189"/>
      <c r="K39" s="189"/>
      <c r="L39" s="189"/>
      <c r="M39" s="189"/>
      <c r="N39" s="189"/>
      <c r="O39" s="189"/>
      <c r="P39" s="189"/>
      <c r="Q39" s="189"/>
      <c r="R39" s="189"/>
      <c r="S39" s="189"/>
      <c r="T39" s="189"/>
      <c r="U39" s="189"/>
      <c r="V39" s="189"/>
      <c r="W39" s="189"/>
      <c r="X39" s="268">
        <v>584381.36400875496</v>
      </c>
      <c r="Y39" s="268">
        <v>578688.45641465008</v>
      </c>
      <c r="Z39" s="268">
        <v>589363.93510242004</v>
      </c>
      <c r="AA39" s="268">
        <v>602065.05826901505</v>
      </c>
      <c r="AB39" s="268">
        <v>558509.61292545113</v>
      </c>
      <c r="AC39" s="269">
        <f t="shared" si="12"/>
        <v>568556.32125872793</v>
      </c>
      <c r="AD39" s="269">
        <f t="shared" si="12"/>
        <v>573800.15930138261</v>
      </c>
      <c r="AE39" s="269">
        <f t="shared" ref="AE39:AF39" si="109">AE27</f>
        <v>603147</v>
      </c>
      <c r="AF39" s="269">
        <f t="shared" si="109"/>
        <v>593874.87774433114</v>
      </c>
      <c r="AG39" s="269">
        <v>607891.64754328108</v>
      </c>
      <c r="AH39" s="269">
        <v>569702.3232449441</v>
      </c>
      <c r="AI39" s="190">
        <f t="shared" si="14"/>
        <v>586118</v>
      </c>
      <c r="AJ39" s="190">
        <f t="shared" si="14"/>
        <v>606433.83880473906</v>
      </c>
      <c r="AK39" s="190">
        <f t="shared" ref="AK39:AL39" si="110">AK27</f>
        <v>626556</v>
      </c>
      <c r="AL39" s="190">
        <f t="shared" si="110"/>
        <v>630102.67843688896</v>
      </c>
      <c r="AM39" s="190">
        <f t="shared" ref="AM39:AO39" si="111">AM27</f>
        <v>637823.65140328917</v>
      </c>
      <c r="AN39" s="190">
        <f t="shared" ref="AN39" si="112">AN27</f>
        <v>650293.56305231899</v>
      </c>
      <c r="AO39" s="190">
        <f t="shared" si="111"/>
        <v>654288.55813338305</v>
      </c>
      <c r="AP39" s="190">
        <f t="shared" ref="AP39" si="113">AP27</f>
        <v>659232.22592186788</v>
      </c>
      <c r="AQ39" s="190">
        <f t="shared" ref="AQ39:AR39" si="114">AQ27</f>
        <v>669934.40687324293</v>
      </c>
      <c r="AR39" s="190">
        <f t="shared" si="114"/>
        <v>670024.65129670093</v>
      </c>
      <c r="AS39" s="190">
        <f t="shared" ref="AS39" si="115">AS27</f>
        <v>692624.02579770295</v>
      </c>
      <c r="AT39" s="190">
        <f t="shared" ref="AT39" si="116">AT27</f>
        <v>706046.63053100405</v>
      </c>
      <c r="AU39" s="190">
        <f t="shared" ref="AU39:AV39" si="117">AU27</f>
        <v>719394</v>
      </c>
      <c r="AV39" s="190">
        <f t="shared" si="117"/>
        <v>774270.26319682808</v>
      </c>
      <c r="AW39" s="190">
        <f t="shared" ref="AW39:AY39" si="118">AW27</f>
        <v>791587</v>
      </c>
      <c r="AX39" s="190">
        <f t="shared" si="118"/>
        <v>664092.79058315803</v>
      </c>
      <c r="AY39" s="190">
        <f t="shared" si="118"/>
        <v>654169.53784988401</v>
      </c>
      <c r="AZ39" s="190">
        <f t="shared" ref="AZ39:BA39" si="119">AZ27</f>
        <v>613741.15145865106</v>
      </c>
      <c r="BA39" s="190">
        <f t="shared" si="119"/>
        <v>589292.05753938889</v>
      </c>
      <c r="BB39" s="190">
        <f t="shared" ref="BB39:BC39" si="120">BB27</f>
        <v>598009.44432199991</v>
      </c>
      <c r="BC39" s="190">
        <f t="shared" si="120"/>
        <v>601732.01513000007</v>
      </c>
      <c r="BD39" s="2"/>
      <c r="BE39" s="2"/>
    </row>
    <row r="40" spans="1:57">
      <c r="A40" s="2"/>
      <c r="B40" s="85"/>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B40" s="85"/>
      <c r="AC40" s="85"/>
      <c r="AD40" s="85"/>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2"/>
      <c r="BE40" s="2"/>
    </row>
    <row r="41" spans="1:57" s="27" customFormat="1">
      <c r="A41" s="510" t="s">
        <v>427</v>
      </c>
      <c r="B41" s="522" t="str">
        <f>'Revenue, EBITDA, capex breakout'!B$1</f>
        <v>Q1 12</v>
      </c>
      <c r="C41" s="522" t="str">
        <f>'Revenue, EBITDA, capex breakout'!C$1</f>
        <v>Q2 12</v>
      </c>
      <c r="D41" s="522" t="str">
        <f>'Revenue, EBITDA, capex breakout'!D$1</f>
        <v>Q3 12</v>
      </c>
      <c r="E41" s="522" t="str">
        <f>'Revenue, EBITDA, capex breakout'!E$1</f>
        <v>4Q12</v>
      </c>
      <c r="F41" s="522" t="str">
        <f>'Revenue, EBITDA, capex breakout'!F$1</f>
        <v>1Q13</v>
      </c>
      <c r="G41" s="522" t="str">
        <f>'Revenue, EBITDA, capex breakout'!G$1</f>
        <v>2Q13</v>
      </c>
      <c r="H41" s="522" t="str">
        <f>'Revenue, EBITDA, capex breakout'!H$1</f>
        <v>3Q13</v>
      </c>
      <c r="I41" s="522" t="str">
        <f>'Revenue, EBITDA, capex breakout'!I$1</f>
        <v>4Q13</v>
      </c>
      <c r="J41" s="522" t="str">
        <f>'Revenue, EBITDA, capex breakout'!J$1</f>
        <v>1Q14</v>
      </c>
      <c r="K41" s="522" t="str">
        <f>'Revenue, EBITDA, capex breakout'!K$1</f>
        <v>2Q14</v>
      </c>
      <c r="L41" s="522" t="str">
        <f>'Revenue, EBITDA, capex breakout'!L$1</f>
        <v>3Q14</v>
      </c>
      <c r="M41" s="522" t="str">
        <f>'Revenue, EBITDA, capex breakout'!M$1</f>
        <v>4Q14</v>
      </c>
      <c r="N41" s="522" t="str">
        <f>'Revenue, EBITDA, capex breakout'!N$1</f>
        <v>1Q15</v>
      </c>
      <c r="O41" s="522" t="str">
        <f>'Revenue, EBITDA, capex breakout'!O$1</f>
        <v>2Q15</v>
      </c>
      <c r="P41" s="522" t="str">
        <f>'Revenue, EBITDA, capex breakout'!P$1</f>
        <v>3Q15</v>
      </c>
      <c r="Q41" s="522" t="str">
        <f>'Revenue, EBITDA, capex breakout'!Q$1</f>
        <v>4Q15</v>
      </c>
      <c r="R41" s="522" t="str">
        <f>'Revenue, EBITDA, capex breakout'!R$1</f>
        <v>1Q16</v>
      </c>
      <c r="S41" s="522" t="str">
        <f>'Revenue, EBITDA, capex breakout'!S$1</f>
        <v>2Q16</v>
      </c>
      <c r="T41" s="522" t="str">
        <f>'Revenue, EBITDA, capex breakout'!T$1</f>
        <v>3Q16</v>
      </c>
      <c r="U41" s="522" t="str">
        <f>'Revenue, EBITDA, capex breakout'!U$1</f>
        <v>4Q16</v>
      </c>
      <c r="V41" s="522" t="str">
        <f>'Revenue, EBITDA, capex breakout'!V$1</f>
        <v>1Q17</v>
      </c>
      <c r="W41" s="522" t="str">
        <f>'Revenue, EBITDA, capex breakout'!W$1</f>
        <v>2Q17</v>
      </c>
      <c r="X41" s="522" t="str">
        <f>'Revenue, EBITDA, capex breakout'!X$1</f>
        <v>3Q17</v>
      </c>
      <c r="Y41" s="522" t="str">
        <f>'Revenue, EBITDA, capex breakout'!Y$1</f>
        <v>4Q17</v>
      </c>
      <c r="Z41" s="522" t="str">
        <f>'Revenue, EBITDA, capex breakout'!Z$1</f>
        <v>1Q18</v>
      </c>
      <c r="AA41" s="522" t="str">
        <f>'Revenue, EBITDA, capex breakout'!AA$1</f>
        <v>2Q18</v>
      </c>
      <c r="AB41" s="522" t="str">
        <f>'Revenue, EBITDA, capex breakout'!AB$1</f>
        <v>3Q18</v>
      </c>
      <c r="AC41" s="522" t="str">
        <f>'Revenue, EBITDA, capex breakout'!AC$1</f>
        <v>4Q18</v>
      </c>
      <c r="AD41" s="522" t="str">
        <f t="shared" ref="AD41:AI41" si="121">AD1</f>
        <v>1Q19</v>
      </c>
      <c r="AE41" s="522" t="str">
        <f t="shared" si="121"/>
        <v>2Q19</v>
      </c>
      <c r="AF41" s="522" t="str">
        <f t="shared" si="121"/>
        <v>3Q19</v>
      </c>
      <c r="AG41" s="522" t="str">
        <f t="shared" si="121"/>
        <v>4Q19</v>
      </c>
      <c r="AH41" s="522" t="str">
        <f t="shared" si="121"/>
        <v>1Q20</v>
      </c>
      <c r="AI41" s="522" t="str">
        <f t="shared" si="121"/>
        <v>2Q20</v>
      </c>
      <c r="AJ41" s="522" t="str">
        <f t="shared" ref="AJ41:AK41" si="122">AJ1</f>
        <v>3Q20</v>
      </c>
      <c r="AK41" s="522" t="str">
        <f t="shared" si="122"/>
        <v>4Q20</v>
      </c>
      <c r="AL41" s="522" t="str">
        <f t="shared" ref="AL41:AM41" si="123">AL1</f>
        <v>1Q21</v>
      </c>
      <c r="AM41" s="522" t="str">
        <f t="shared" si="123"/>
        <v>2Q21</v>
      </c>
      <c r="AN41" s="522" t="str">
        <f t="shared" ref="AN41:AO41" si="124">AN1</f>
        <v>3Q21</v>
      </c>
      <c r="AO41" s="522" t="str">
        <f t="shared" si="124"/>
        <v>4Q21</v>
      </c>
      <c r="AP41" s="522" t="str">
        <f t="shared" ref="AP41:AQ41" si="125">AP1</f>
        <v>1Q22</v>
      </c>
      <c r="AQ41" s="522" t="str">
        <f t="shared" si="125"/>
        <v>2Q22</v>
      </c>
      <c r="AR41" s="522" t="str">
        <f t="shared" ref="AR41:AS41" si="126">AR1</f>
        <v>3Q22</v>
      </c>
      <c r="AS41" s="522" t="str">
        <f t="shared" si="126"/>
        <v>4Q22</v>
      </c>
      <c r="AT41" s="522" t="str">
        <f t="shared" ref="AT41:AU41" si="127">AT1</f>
        <v>1Q23</v>
      </c>
      <c r="AU41" s="522" t="str">
        <f t="shared" si="127"/>
        <v>2Q23</v>
      </c>
      <c r="AV41" s="522" t="str">
        <f t="shared" ref="AV41:AW41" si="128">AV1</f>
        <v>3Q23</v>
      </c>
      <c r="AW41" s="522" t="str">
        <f t="shared" si="128"/>
        <v>4Q23</v>
      </c>
      <c r="AX41" s="522" t="str">
        <f t="shared" ref="AX41:AY41" si="129">AX1</f>
        <v>1Q24</v>
      </c>
      <c r="AY41" s="522" t="str">
        <f t="shared" si="129"/>
        <v>2Q24</v>
      </c>
      <c r="AZ41" s="522" t="str">
        <f t="shared" ref="AZ41:BA41" si="130">AZ1</f>
        <v>3Q24</v>
      </c>
      <c r="BA41" s="522" t="str">
        <f t="shared" si="130"/>
        <v>4Q24</v>
      </c>
      <c r="BB41" s="522" t="str">
        <f t="shared" ref="BB41:BC41" si="131">BB1</f>
        <v>1Q25</v>
      </c>
      <c r="BC41" s="522" t="str">
        <f t="shared" si="131"/>
        <v>2Q25</v>
      </c>
      <c r="BD41" s="510"/>
      <c r="BE41" s="510" t="s">
        <v>209</v>
      </c>
    </row>
    <row r="42" spans="1:57" s="27" customFormat="1">
      <c r="A42" s="510" t="s">
        <v>426</v>
      </c>
      <c r="B42" s="522"/>
      <c r="C42" s="522"/>
      <c r="D42" s="522"/>
      <c r="E42" s="522"/>
      <c r="F42" s="522"/>
      <c r="G42" s="522"/>
      <c r="H42" s="522"/>
      <c r="I42" s="522"/>
      <c r="J42" s="522"/>
      <c r="K42" s="522"/>
      <c r="L42" s="522"/>
      <c r="M42" s="522"/>
      <c r="N42" s="522"/>
      <c r="O42" s="522"/>
      <c r="P42" s="522"/>
      <c r="Q42" s="522"/>
      <c r="R42" s="522"/>
      <c r="S42" s="522"/>
      <c r="T42" s="522"/>
      <c r="U42" s="522"/>
      <c r="V42" s="522"/>
      <c r="W42" s="522"/>
      <c r="X42" s="522"/>
      <c r="Y42" s="522"/>
      <c r="Z42" s="522"/>
      <c r="AA42" s="522"/>
      <c r="AB42" s="522"/>
      <c r="AC42" s="522"/>
      <c r="AD42" s="522"/>
      <c r="AE42" s="523"/>
      <c r="AF42" s="523"/>
      <c r="AG42" s="523"/>
      <c r="AH42" s="523"/>
      <c r="AI42" s="523"/>
      <c r="AJ42" s="523"/>
      <c r="AK42" s="523"/>
      <c r="AL42" s="523"/>
      <c r="AM42" s="523"/>
      <c r="AN42" s="523"/>
      <c r="AO42" s="523"/>
      <c r="AP42" s="523"/>
      <c r="AQ42" s="523"/>
      <c r="AR42" s="523"/>
      <c r="AS42" s="523"/>
      <c r="AT42" s="523"/>
      <c r="AU42" s="523"/>
      <c r="AV42" s="523"/>
      <c r="AW42" s="523"/>
      <c r="AX42" s="523"/>
      <c r="AY42" s="523"/>
      <c r="AZ42" s="523"/>
      <c r="BA42" s="523"/>
      <c r="BB42" s="523"/>
      <c r="BC42" s="523"/>
      <c r="BD42" s="510"/>
      <c r="BE42" s="510"/>
    </row>
    <row r="43" spans="1:57" s="193" customFormat="1">
      <c r="A43" s="3" t="s">
        <v>83</v>
      </c>
      <c r="B43" s="206"/>
      <c r="C43" s="206"/>
      <c r="D43" s="206"/>
      <c r="E43" s="206"/>
      <c r="F43" s="206"/>
      <c r="G43" s="206"/>
      <c r="H43" s="206"/>
      <c r="I43" s="206"/>
      <c r="J43" s="206">
        <f t="shared" ref="J43:AC43" si="132">J5/F5-1</f>
        <v>0.36706855765199164</v>
      </c>
      <c r="K43" s="206">
        <f t="shared" si="132"/>
        <v>0.57066886238532111</v>
      </c>
      <c r="L43" s="206">
        <f t="shared" si="132"/>
        <v>0.41335039506770643</v>
      </c>
      <c r="M43" s="206">
        <f t="shared" si="132"/>
        <v>0.26151676870748375</v>
      </c>
      <c r="N43" s="206">
        <f t="shared" si="132"/>
        <v>0.11712604597239085</v>
      </c>
      <c r="O43" s="206">
        <f t="shared" si="132"/>
        <v>-0.14184497369520821</v>
      </c>
      <c r="P43" s="206">
        <f t="shared" si="132"/>
        <v>-0.15171976455177483</v>
      </c>
      <c r="Q43" s="206">
        <f t="shared" si="132"/>
        <v>-0.17412793400871762</v>
      </c>
      <c r="R43" s="206">
        <f t="shared" si="132"/>
        <v>-0.11098991742711861</v>
      </c>
      <c r="S43" s="206">
        <f t="shared" si="132"/>
        <v>3.9060905345284835E-2</v>
      </c>
      <c r="T43" s="206">
        <f t="shared" si="132"/>
        <v>9.1537787464629039E-2</v>
      </c>
      <c r="U43" s="206">
        <f t="shared" si="132"/>
        <v>0.18389989412096641</v>
      </c>
      <c r="V43" s="206">
        <f t="shared" si="132"/>
        <v>6.6193103886001525E-2</v>
      </c>
      <c r="W43" s="206">
        <f t="shared" si="132"/>
        <v>3.0638828136770435E-2</v>
      </c>
      <c r="X43" s="206">
        <f t="shared" si="132"/>
        <v>-0.40654186428558481</v>
      </c>
      <c r="Y43" s="206">
        <f t="shared" si="132"/>
        <v>-0.7774330607111738</v>
      </c>
      <c r="Z43" s="206">
        <f t="shared" si="132"/>
        <v>-0.76545044709557741</v>
      </c>
      <c r="AA43" s="206">
        <f t="shared" si="132"/>
        <v>-0.75343986834289645</v>
      </c>
      <c r="AB43" s="206">
        <f t="shared" si="132"/>
        <v>-0.58737433274709461</v>
      </c>
      <c r="AC43" s="206">
        <f t="shared" si="132"/>
        <v>5.7868699333796458E-2</v>
      </c>
      <c r="AD43" s="207">
        <f t="shared" ref="AD43:AM43" si="133">AD5/Z5-1</f>
        <v>9.118863059858584E-2</v>
      </c>
      <c r="AE43" s="210">
        <f t="shared" si="133"/>
        <v>9.1439688715953205E-2</v>
      </c>
      <c r="AF43" s="208">
        <f t="shared" si="133"/>
        <v>0.11602838475778898</v>
      </c>
      <c r="AG43" s="208">
        <f t="shared" si="133"/>
        <v>8.8231914188179772E-2</v>
      </c>
      <c r="AH43" s="208">
        <f t="shared" si="133"/>
        <v>2.704336350192138E-2</v>
      </c>
      <c r="AI43" s="208">
        <f t="shared" si="133"/>
        <v>-1.4260249554367221E-2</v>
      </c>
      <c r="AJ43" s="208">
        <f t="shared" si="133"/>
        <v>2.1896755075519581E-2</v>
      </c>
      <c r="AK43" s="208">
        <f t="shared" si="133"/>
        <v>7.0121180362775037E-2</v>
      </c>
      <c r="AL43" s="208">
        <f t="shared" si="133"/>
        <v>-1.3621472497704623E-3</v>
      </c>
      <c r="AM43" s="208">
        <f t="shared" si="133"/>
        <v>9.3196630361667143E-3</v>
      </c>
      <c r="AN43" s="208">
        <f t="shared" ref="AN43:AS43" si="134">AN5/AJ5-1</f>
        <v>-8.1517923996244357E-2</v>
      </c>
      <c r="AO43" s="208">
        <f t="shared" si="134"/>
        <v>-0.18351701160178968</v>
      </c>
      <c r="AP43" s="208">
        <f t="shared" si="134"/>
        <v>-0.12500112196848379</v>
      </c>
      <c r="AQ43" s="208">
        <f t="shared" si="134"/>
        <v>-0.14194099877286126</v>
      </c>
      <c r="AR43" s="208">
        <f t="shared" si="134"/>
        <v>-8.026778659280176E-2</v>
      </c>
      <c r="AS43" s="208">
        <f t="shared" si="134"/>
        <v>1.7229688316071634E-3</v>
      </c>
      <c r="AT43" s="208">
        <f t="shared" ref="AT43:BC43" si="135">AT5/AP5-1</f>
        <v>-0.29917607118171041</v>
      </c>
      <c r="AU43" s="208">
        <f t="shared" si="135"/>
        <v>-0.2747627468902023</v>
      </c>
      <c r="AV43" s="208">
        <f t="shared" si="135"/>
        <v>-0.20392991274754191</v>
      </c>
      <c r="AW43" s="208">
        <f t="shared" si="135"/>
        <v>-0.18130860590955378</v>
      </c>
      <c r="AX43" s="208">
        <f t="shared" si="135"/>
        <v>0.40011126755065107</v>
      </c>
      <c r="AY43" s="208">
        <f t="shared" si="135"/>
        <v>0.34280825389392655</v>
      </c>
      <c r="AZ43" s="208">
        <f t="shared" si="135"/>
        <v>0.21722132173684794</v>
      </c>
      <c r="BA43" s="208">
        <f t="shared" si="135"/>
        <v>0.19333916607658241</v>
      </c>
      <c r="BB43" s="208">
        <f t="shared" si="135"/>
        <v>7.5331745462312583E-3</v>
      </c>
      <c r="BC43" s="208">
        <f t="shared" si="135"/>
        <v>-1</v>
      </c>
      <c r="BD43" s="3"/>
      <c r="BE43" s="2"/>
    </row>
    <row r="44" spans="1:57" s="193" customFormat="1">
      <c r="A44" s="3"/>
      <c r="B44" s="206"/>
      <c r="C44" s="206"/>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7"/>
      <c r="AE44" s="210"/>
      <c r="AF44" s="208"/>
      <c r="AG44" s="208"/>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3"/>
      <c r="BE44" s="2"/>
    </row>
    <row r="45" spans="1:57">
      <c r="A45" s="3" t="s">
        <v>85</v>
      </c>
      <c r="B45" s="206"/>
      <c r="C45" s="206"/>
      <c r="D45" s="206"/>
      <c r="E45" s="206"/>
      <c r="F45" s="206"/>
      <c r="G45" s="206"/>
      <c r="H45" s="206"/>
      <c r="I45" s="206"/>
      <c r="J45" s="206">
        <f t="shared" ref="J45:AC45" si="136">J7/F7-1</f>
        <v>-1.3799147939814822</v>
      </c>
      <c r="K45" s="206">
        <f t="shared" si="136"/>
        <v>-1.6911173106159882</v>
      </c>
      <c r="L45" s="206">
        <f t="shared" si="136"/>
        <v>-3.8460820818181767</v>
      </c>
      <c r="M45" s="206">
        <f t="shared" si="136"/>
        <v>-27.868635363636756</v>
      </c>
      <c r="N45" s="206">
        <f t="shared" si="136"/>
        <v>0.42212698021450779</v>
      </c>
      <c r="O45" s="206">
        <f t="shared" si="136"/>
        <v>-0.59304411864778239</v>
      </c>
      <c r="P45" s="206">
        <f t="shared" si="136"/>
        <v>-1.8648231281925913</v>
      </c>
      <c r="Q45" s="206">
        <f t="shared" si="136"/>
        <v>-1.8989432724480277</v>
      </c>
      <c r="R45" s="206">
        <f t="shared" si="136"/>
        <v>-3.0373944076661159</v>
      </c>
      <c r="S45" s="206">
        <f t="shared" si="136"/>
        <v>-3.2548686375833356</v>
      </c>
      <c r="T45" s="206">
        <f t="shared" si="136"/>
        <v>0.36899953701458421</v>
      </c>
      <c r="U45" s="206">
        <f t="shared" si="136"/>
        <v>-2.0820549749619088</v>
      </c>
      <c r="V45" s="206">
        <f t="shared" si="136"/>
        <v>-0.94570934319571465</v>
      </c>
      <c r="W45" s="206">
        <f t="shared" si="136"/>
        <v>-1.8669125792231824</v>
      </c>
      <c r="X45" s="206">
        <f t="shared" si="136"/>
        <v>-1.4359321404531187</v>
      </c>
      <c r="Y45" s="206">
        <f t="shared" si="136"/>
        <v>-1.3756335157609307</v>
      </c>
      <c r="Z45" s="206">
        <f t="shared" si="136"/>
        <v>1.4111839343779544</v>
      </c>
      <c r="AA45" s="206">
        <f t="shared" si="136"/>
        <v>-1.0715156459257951</v>
      </c>
      <c r="AB45" s="206">
        <f t="shared" si="136"/>
        <v>-0.88770457832610383</v>
      </c>
      <c r="AC45" s="206">
        <f t="shared" si="136"/>
        <v>-1.6196732733691528</v>
      </c>
      <c r="AD45" s="207">
        <f t="shared" ref="AD45:AM45" si="137">AD7/Z7-1</f>
        <v>-1.160558118354889</v>
      </c>
      <c r="AE45" s="210">
        <f t="shared" si="137"/>
        <v>-3</v>
      </c>
      <c r="AF45" s="208">
        <f t="shared" si="137"/>
        <v>1.3042271011627018</v>
      </c>
      <c r="AG45" s="208">
        <f t="shared" si="137"/>
        <v>-0.33309088032859369</v>
      </c>
      <c r="AH45" s="208">
        <f t="shared" si="137"/>
        <v>8.2048492987079022</v>
      </c>
      <c r="AI45" s="208">
        <f t="shared" si="137"/>
        <v>1.7999999999999998</v>
      </c>
      <c r="AJ45" s="208">
        <f t="shared" si="137"/>
        <v>1.5365748705208859</v>
      </c>
      <c r="AK45" s="208">
        <f t="shared" si="137"/>
        <v>2.2929994880332529</v>
      </c>
      <c r="AL45" s="208">
        <f t="shared" si="137"/>
        <v>6.7815482282609141E-2</v>
      </c>
      <c r="AM45" s="208">
        <f t="shared" si="137"/>
        <v>0.38138974544047999</v>
      </c>
      <c r="AN45" s="208">
        <f t="shared" ref="AN45:AS45" si="138">AN7/AJ7-1</f>
        <v>-0.63393843862203791</v>
      </c>
      <c r="AO45" s="208">
        <f t="shared" si="138"/>
        <v>-1.827785720708768</v>
      </c>
      <c r="AP45" s="208">
        <f t="shared" si="138"/>
        <v>-2.1268032067285483</v>
      </c>
      <c r="AQ45" s="208">
        <f t="shared" si="138"/>
        <v>-2.2179781022067933</v>
      </c>
      <c r="AR45" s="208">
        <f t="shared" si="138"/>
        <v>-6.3781116746215281</v>
      </c>
      <c r="AS45" s="208">
        <f t="shared" si="138"/>
        <v>0.31521491373170707</v>
      </c>
      <c r="AT45" s="208">
        <f t="shared" ref="AT45:BC45" si="139">AT7/AP7-1</f>
        <v>-2.3615006033594677E-2</v>
      </c>
      <c r="AU45" s="208">
        <f t="shared" si="139"/>
        <v>-4.3623510108079522E-3</v>
      </c>
      <c r="AV45" s="208">
        <f t="shared" si="139"/>
        <v>-0.37212782345176076</v>
      </c>
      <c r="AW45" s="208">
        <f t="shared" si="139"/>
        <v>-0.13505131853124364</v>
      </c>
      <c r="AX45" s="208">
        <f t="shared" si="139"/>
        <v>4.006062260463028E-2</v>
      </c>
      <c r="AY45" s="208">
        <f t="shared" si="139"/>
        <v>-0.14830969292765905</v>
      </c>
      <c r="AZ45" s="208">
        <f t="shared" si="139"/>
        <v>0.1521974100192105</v>
      </c>
      <c r="BA45" s="208">
        <f t="shared" si="139"/>
        <v>0.91842133975053364</v>
      </c>
      <c r="BB45" s="208">
        <f t="shared" si="139"/>
        <v>0.47804780375804401</v>
      </c>
      <c r="BC45" s="208">
        <f t="shared" si="139"/>
        <v>-1</v>
      </c>
      <c r="BD45" s="2"/>
      <c r="BE45" s="2"/>
    </row>
    <row r="46" spans="1:57">
      <c r="A46" s="3" t="s">
        <v>90</v>
      </c>
      <c r="B46" s="206"/>
      <c r="C46" s="206"/>
      <c r="D46" s="206"/>
      <c r="E46" s="206"/>
      <c r="F46" s="206">
        <f t="shared" ref="F46:Y46" si="140">F7/F5</f>
        <v>-0.15094339622641509</v>
      </c>
      <c r="G46" s="206">
        <f t="shared" si="140"/>
        <v>-0.13207547169811321</v>
      </c>
      <c r="H46" s="206">
        <f t="shared" si="140"/>
        <v>-3.481469876581892E-2</v>
      </c>
      <c r="I46" s="206">
        <f t="shared" si="140"/>
        <v>-3.0921459492888074E-3</v>
      </c>
      <c r="J46" s="206">
        <f t="shared" si="140"/>
        <v>4.1947881076804014E-2</v>
      </c>
      <c r="K46" s="206">
        <f t="shared" si="140"/>
        <v>5.8115142525786631E-2</v>
      </c>
      <c r="L46" s="206">
        <f t="shared" si="140"/>
        <v>7.0106811932187527E-2</v>
      </c>
      <c r="M46" s="206">
        <f t="shared" si="140"/>
        <v>6.5858610890849045E-2</v>
      </c>
      <c r="N46" s="206">
        <f t="shared" si="140"/>
        <v>5.3400611020779053E-2</v>
      </c>
      <c r="O46" s="206">
        <f t="shared" si="140"/>
        <v>2.7559471565795308E-2</v>
      </c>
      <c r="P46" s="206">
        <f t="shared" si="140"/>
        <v>-7.1474012795745084E-2</v>
      </c>
      <c r="Q46" s="206">
        <f t="shared" si="140"/>
        <v>-7.1685624966671413E-2</v>
      </c>
      <c r="R46" s="206">
        <f t="shared" si="140"/>
        <v>-0.12238118373732784</v>
      </c>
      <c r="S46" s="206">
        <f t="shared" si="140"/>
        <v>-5.9806877327783912E-2</v>
      </c>
      <c r="T46" s="206">
        <f t="shared" si="140"/>
        <v>-8.9642238271224514E-2</v>
      </c>
      <c r="U46" s="206">
        <f t="shared" si="140"/>
        <v>6.5518873270981839E-2</v>
      </c>
      <c r="V46" s="206">
        <f t="shared" si="140"/>
        <v>-6.2316618081370168E-3</v>
      </c>
      <c r="W46" s="206">
        <f t="shared" si="140"/>
        <v>5.0306016874257779E-2</v>
      </c>
      <c r="X46" s="206">
        <f t="shared" si="140"/>
        <v>6.5847833996817096E-2</v>
      </c>
      <c r="Y46" s="206">
        <f t="shared" si="140"/>
        <v>-0.11057834912100695</v>
      </c>
      <c r="Z46" s="206">
        <f t="shared" ref="Z46:AA46" si="141">Z7/Z5</f>
        <v>-6.4061869443765337E-2</v>
      </c>
      <c r="AA46" s="206">
        <f t="shared" si="141"/>
        <v>-1.4591439688715954E-2</v>
      </c>
      <c r="AB46" s="206">
        <f t="shared" ref="AB46:AC46" si="142">AB7/AB5</f>
        <v>1.7920383708105895E-2</v>
      </c>
      <c r="AC46" s="206">
        <f t="shared" si="142"/>
        <v>6.4774057127055598E-2</v>
      </c>
      <c r="AD46" s="207">
        <f t="shared" ref="AD46:AE46" si="143">AD7/AD5</f>
        <v>9.4261000598450089E-3</v>
      </c>
      <c r="AE46" s="210">
        <f t="shared" si="143"/>
        <v>2.6737967914438502E-2</v>
      </c>
      <c r="AF46" s="208">
        <f t="shared" ref="AF46:AG46" si="144">AF7/AF5</f>
        <v>3.6999626862012004E-2</v>
      </c>
      <c r="AG46" s="208">
        <f t="shared" si="144"/>
        <v>3.9695958970635416E-2</v>
      </c>
      <c r="AH46" s="208">
        <f t="shared" ref="AH46:AI46" si="145">AH7/AH5</f>
        <v>8.4481175390266297E-2</v>
      </c>
      <c r="AI46" s="208">
        <f t="shared" si="145"/>
        <v>7.5949367088607597E-2</v>
      </c>
      <c r="AJ46" s="208">
        <f t="shared" ref="AJ46:AK46" si="146">AJ7/AJ5</f>
        <v>9.1841297323518145E-2</v>
      </c>
      <c r="AK46" s="208">
        <f t="shared" si="146"/>
        <v>0.12215324298410513</v>
      </c>
      <c r="AL46" s="208">
        <f t="shared" ref="AL46:AM46" si="147">AL7/AL5</f>
        <v>9.0333354373381136E-2</v>
      </c>
      <c r="AM46" s="208">
        <f t="shared" si="147"/>
        <v>0.10394692653990016</v>
      </c>
      <c r="AN46" s="208">
        <f t="shared" ref="AN46:AO46" si="148">AN7/AN5</f>
        <v>3.6603402042967276E-2</v>
      </c>
      <c r="AO46" s="208">
        <f t="shared" si="148"/>
        <v>-0.12384423401016981</v>
      </c>
      <c r="AP46" s="208">
        <f t="shared" ref="AP46:AQ46" si="149">AP7/AP5</f>
        <v>-0.11632919302875487</v>
      </c>
      <c r="AQ46" s="208">
        <f t="shared" si="149"/>
        <v>-0.14754822236726661</v>
      </c>
      <c r="AR46" s="208">
        <f t="shared" ref="AR46:AS46" si="150">AR7/AR5</f>
        <v>-0.21403750025116505</v>
      </c>
      <c r="AS46" s="208">
        <f t="shared" si="150"/>
        <v>-0.16260162601626016</v>
      </c>
      <c r="AT46" s="208">
        <f t="shared" ref="AT46:AU46" si="151">AT7/AT5</f>
        <v>-0.16206934975096621</v>
      </c>
      <c r="AU46" s="208">
        <f t="shared" si="151"/>
        <v>-0.2025606994129949</v>
      </c>
      <c r="AV46" s="208">
        <f t="shared" ref="AV46:AW46" si="152">AV7/AV5</f>
        <v>-0.16881452185883317</v>
      </c>
      <c r="AW46" s="208">
        <f t="shared" si="152"/>
        <v>-0.17178886090978307</v>
      </c>
      <c r="AX46" s="208">
        <f t="shared" ref="AX46:AY46" si="153">AX7/AX5</f>
        <v>-0.12039182364555859</v>
      </c>
      <c r="AY46" s="208">
        <f t="shared" si="153"/>
        <v>-0.12847626143462007</v>
      </c>
      <c r="AZ46" s="208">
        <f t="shared" ref="AZ46:BA46" si="154">AZ7/AZ5</f>
        <v>-0.15979645721440111</v>
      </c>
      <c r="BA46" s="208">
        <f t="shared" si="154"/>
        <v>-0.27616911107031783</v>
      </c>
      <c r="BB46" s="208">
        <f t="shared" ref="BB46:BC46" si="155">BB7/BB5</f>
        <v>-0.17661440340154133</v>
      </c>
      <c r="BC46" s="208" t="e">
        <f t="shared" si="155"/>
        <v>#DIV/0!</v>
      </c>
      <c r="BD46" s="2"/>
      <c r="BE46" s="2"/>
    </row>
    <row r="47" spans="1:57">
      <c r="A47" s="3" t="s">
        <v>87</v>
      </c>
      <c r="B47" s="206"/>
      <c r="C47" s="206"/>
      <c r="D47" s="206"/>
      <c r="E47" s="206"/>
      <c r="F47" s="206">
        <f t="shared" ref="F47:AC47" si="156">F46-B46</f>
        <v>-0.15094339622641509</v>
      </c>
      <c r="G47" s="206">
        <f t="shared" si="156"/>
        <v>-0.13207547169811321</v>
      </c>
      <c r="H47" s="206">
        <f t="shared" si="156"/>
        <v>-3.481469876581892E-2</v>
      </c>
      <c r="I47" s="206">
        <f t="shared" si="156"/>
        <v>-3.0921459492888074E-3</v>
      </c>
      <c r="J47" s="206">
        <f t="shared" si="156"/>
        <v>0.19289127730321909</v>
      </c>
      <c r="K47" s="206">
        <f t="shared" si="156"/>
        <v>0.19019061422389982</v>
      </c>
      <c r="L47" s="206">
        <f t="shared" si="156"/>
        <v>0.10492151069800645</v>
      </c>
      <c r="M47" s="206">
        <f t="shared" si="156"/>
        <v>6.895075684013785E-2</v>
      </c>
      <c r="N47" s="206">
        <f t="shared" si="156"/>
        <v>1.1452729943975039E-2</v>
      </c>
      <c r="O47" s="206">
        <f t="shared" si="156"/>
        <v>-3.0555670959991323E-2</v>
      </c>
      <c r="P47" s="206">
        <f t="shared" si="156"/>
        <v>-0.1415808247279326</v>
      </c>
      <c r="Q47" s="206">
        <f t="shared" si="156"/>
        <v>-0.13754423585752046</v>
      </c>
      <c r="R47" s="206">
        <f t="shared" si="156"/>
        <v>-0.1757817947581069</v>
      </c>
      <c r="S47" s="206">
        <f t="shared" si="156"/>
        <v>-8.7366348893579221E-2</v>
      </c>
      <c r="T47" s="206">
        <f t="shared" si="156"/>
        <v>-1.816822547547943E-2</v>
      </c>
      <c r="U47" s="206">
        <f t="shared" si="156"/>
        <v>0.13720449823765324</v>
      </c>
      <c r="V47" s="206">
        <f t="shared" si="156"/>
        <v>0.11614952192919083</v>
      </c>
      <c r="W47" s="206">
        <f t="shared" si="156"/>
        <v>0.11011289420204169</v>
      </c>
      <c r="X47" s="206">
        <f t="shared" si="156"/>
        <v>0.15549007226804162</v>
      </c>
      <c r="Y47" s="206">
        <f t="shared" si="156"/>
        <v>-0.17609722239198877</v>
      </c>
      <c r="Z47" s="206">
        <f t="shared" si="156"/>
        <v>-5.7830207635628322E-2</v>
      </c>
      <c r="AA47" s="206">
        <f t="shared" si="156"/>
        <v>-6.4897456562973729E-2</v>
      </c>
      <c r="AB47" s="206">
        <f t="shared" si="156"/>
        <v>-4.7927450288711204E-2</v>
      </c>
      <c r="AC47" s="206">
        <f t="shared" si="156"/>
        <v>0.17535240624806253</v>
      </c>
      <c r="AD47" s="207">
        <f t="shared" ref="AD47:AM47" si="157">AD46-Z46</f>
        <v>7.3487969503610348E-2</v>
      </c>
      <c r="AE47" s="210">
        <f t="shared" si="157"/>
        <v>4.1329407603154455E-2</v>
      </c>
      <c r="AF47" s="208">
        <f t="shared" si="157"/>
        <v>1.9079243153906109E-2</v>
      </c>
      <c r="AG47" s="208">
        <f t="shared" si="157"/>
        <v>-2.5078098156420182E-2</v>
      </c>
      <c r="AH47" s="208">
        <f t="shared" si="157"/>
        <v>7.5055075330421286E-2</v>
      </c>
      <c r="AI47" s="208">
        <f t="shared" si="157"/>
        <v>4.9211399174169099E-2</v>
      </c>
      <c r="AJ47" s="208">
        <f t="shared" si="157"/>
        <v>5.4841670461506141E-2</v>
      </c>
      <c r="AK47" s="208">
        <f t="shared" si="157"/>
        <v>8.2457284013469717E-2</v>
      </c>
      <c r="AL47" s="208">
        <f t="shared" si="157"/>
        <v>5.8521789831148391E-3</v>
      </c>
      <c r="AM47" s="208">
        <f t="shared" si="157"/>
        <v>2.7997559451292564E-2</v>
      </c>
      <c r="AN47" s="208">
        <f t="shared" ref="AN47:AS47" si="158">AN46-AJ46</f>
        <v>-5.5237895280550869E-2</v>
      </c>
      <c r="AO47" s="208">
        <f t="shared" si="158"/>
        <v>-0.24599747699427493</v>
      </c>
      <c r="AP47" s="208">
        <f t="shared" si="158"/>
        <v>-0.20666254740213602</v>
      </c>
      <c r="AQ47" s="208">
        <f t="shared" si="158"/>
        <v>-0.25149514890716679</v>
      </c>
      <c r="AR47" s="208">
        <f t="shared" si="158"/>
        <v>-0.25064090229413233</v>
      </c>
      <c r="AS47" s="208">
        <f t="shared" si="158"/>
        <v>-3.8757392006090352E-2</v>
      </c>
      <c r="AT47" s="208">
        <f t="shared" ref="AT47:BC47" si="159">AT46-AP46</f>
        <v>-4.5740156722211336E-2</v>
      </c>
      <c r="AU47" s="208">
        <f t="shared" si="159"/>
        <v>-5.5012477045728286E-2</v>
      </c>
      <c r="AV47" s="208">
        <f t="shared" si="159"/>
        <v>4.5222978392331886E-2</v>
      </c>
      <c r="AW47" s="208">
        <f t="shared" si="159"/>
        <v>-9.1872348935229109E-3</v>
      </c>
      <c r="AX47" s="208">
        <f t="shared" si="159"/>
        <v>4.167752610540762E-2</v>
      </c>
      <c r="AY47" s="208">
        <f t="shared" si="159"/>
        <v>7.4084437978374829E-2</v>
      </c>
      <c r="AZ47" s="208">
        <f t="shared" si="159"/>
        <v>9.0180646444320556E-3</v>
      </c>
      <c r="BA47" s="208">
        <f t="shared" si="159"/>
        <v>-0.10438025016053476</v>
      </c>
      <c r="BB47" s="208">
        <f t="shared" si="159"/>
        <v>-5.6222579755982743E-2</v>
      </c>
      <c r="BC47" s="208" t="e">
        <f t="shared" si="159"/>
        <v>#DIV/0!</v>
      </c>
      <c r="BD47" s="2"/>
      <c r="BE47" s="2"/>
    </row>
    <row r="48" spans="1:57" s="193" customFormat="1">
      <c r="A48" s="3"/>
      <c r="B48" s="206"/>
      <c r="C48" s="206"/>
      <c r="D48" s="206"/>
      <c r="E48" s="206"/>
      <c r="F48" s="206"/>
      <c r="G48" s="206"/>
      <c r="H48" s="206"/>
      <c r="I48" s="206"/>
      <c r="J48" s="206"/>
      <c r="K48" s="206"/>
      <c r="L48" s="206"/>
      <c r="M48" s="206"/>
      <c r="N48" s="206"/>
      <c r="O48" s="206"/>
      <c r="P48" s="206"/>
      <c r="Q48" s="206"/>
      <c r="R48" s="206"/>
      <c r="S48" s="206"/>
      <c r="T48" s="206"/>
      <c r="U48" s="206"/>
      <c r="V48" s="206"/>
      <c r="W48" s="206"/>
      <c r="X48" s="206"/>
      <c r="Y48" s="206"/>
      <c r="Z48" s="206"/>
      <c r="AA48" s="206"/>
      <c r="AB48" s="206"/>
      <c r="AC48" s="206"/>
      <c r="AD48" s="207"/>
      <c r="AE48" s="210"/>
      <c r="AF48" s="208"/>
      <c r="AG48" s="208"/>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3"/>
      <c r="BE48" s="2"/>
    </row>
    <row r="49" spans="1:57" s="193" customFormat="1">
      <c r="A49" s="3" t="s">
        <v>49</v>
      </c>
      <c r="B49" s="206"/>
      <c r="C49" s="206"/>
      <c r="D49" s="206"/>
      <c r="E49" s="206"/>
      <c r="F49" s="206"/>
      <c r="G49" s="206"/>
      <c r="H49" s="206"/>
      <c r="I49" s="206"/>
      <c r="J49" s="206">
        <f>J12/J5</f>
        <v>0.23578116471722868</v>
      </c>
      <c r="K49" s="206">
        <f t="shared" ref="K49:Y49" si="160">K12/K5</f>
        <v>0.29151037715512385</v>
      </c>
      <c r="L49" s="206">
        <f t="shared" si="160"/>
        <v>0.4740797976423109</v>
      </c>
      <c r="M49" s="206">
        <f t="shared" si="160"/>
        <v>0.46745527850700447</v>
      </c>
      <c r="N49" s="206">
        <f t="shared" si="160"/>
        <v>0.18648928917448312</v>
      </c>
      <c r="O49" s="206">
        <f t="shared" si="160"/>
        <v>0.16982836231199125</v>
      </c>
      <c r="P49" s="206">
        <f t="shared" si="160"/>
        <v>0.11272812072684332</v>
      </c>
      <c r="Q49" s="206">
        <f t="shared" si="160"/>
        <v>0.35886206505521384</v>
      </c>
      <c r="R49" s="206">
        <f t="shared" si="160"/>
        <v>0.25535587068240412</v>
      </c>
      <c r="S49" s="206">
        <f t="shared" si="160"/>
        <v>0.32554104760404917</v>
      </c>
      <c r="T49" s="206">
        <f t="shared" si="160"/>
        <v>0.13222813975668532</v>
      </c>
      <c r="U49" s="206">
        <f t="shared" si="160"/>
        <v>0.10596590162805278</v>
      </c>
      <c r="V49" s="206">
        <f t="shared" si="160"/>
        <v>0.1281043909459646</v>
      </c>
      <c r="W49" s="206">
        <f t="shared" si="160"/>
        <v>6.95563216059885E-2</v>
      </c>
      <c r="X49" s="206">
        <f t="shared" si="160"/>
        <v>0.18621251596111491</v>
      </c>
      <c r="Y49" s="206">
        <f t="shared" si="160"/>
        <v>0.56558023959438319</v>
      </c>
      <c r="Z49" s="206">
        <f t="shared" ref="Z49:AA49" si="161">Z12/Z5</f>
        <v>0.28654999633709188</v>
      </c>
      <c r="AA49" s="206">
        <f t="shared" si="161"/>
        <v>0.25972762645914399</v>
      </c>
      <c r="AB49" s="206">
        <f t="shared" ref="AB49:AC49" si="162">AB12/AB5</f>
        <v>0.38381184317035255</v>
      </c>
      <c r="AC49" s="206">
        <f t="shared" si="162"/>
        <v>0.29101195790165246</v>
      </c>
      <c r="AD49" s="207">
        <f t="shared" ref="AD49:AE49" si="163">AD12/AD5</f>
        <v>0.19609548586997261</v>
      </c>
      <c r="AE49" s="210">
        <f t="shared" si="163"/>
        <v>0.3770053475935829</v>
      </c>
      <c r="AF49" s="208">
        <f t="shared" ref="AF49:AG49" si="164">AF12/AF5</f>
        <v>0.3446008686988094</v>
      </c>
      <c r="AG49" s="208">
        <f t="shared" si="164"/>
        <v>0.14578457918388368</v>
      </c>
      <c r="AH49" s="208">
        <f t="shared" ref="AH49:AI49" si="165">AH12/AH5</f>
        <v>-0.38881777206427914</v>
      </c>
      <c r="AI49" s="208">
        <f t="shared" si="165"/>
        <v>9.6745027124773966E-2</v>
      </c>
      <c r="AJ49" s="208">
        <f t="shared" ref="AJ49:AK49" si="166">AJ12/AJ5</f>
        <v>0.28672963468848456</v>
      </c>
      <c r="AK49" s="208">
        <f t="shared" si="166"/>
        <v>0.22355565963877816</v>
      </c>
      <c r="AL49" s="208">
        <f t="shared" ref="AL49:AM49" si="167">AL12/AL5</f>
        <v>0.30747279239484843</v>
      </c>
      <c r="AM49" s="208">
        <f t="shared" si="167"/>
        <v>0.76847366313436294</v>
      </c>
      <c r="AN49" s="208">
        <f t="shared" ref="AN49:AO49" si="168">AN12/AN5</f>
        <v>0.84944388075368338</v>
      </c>
      <c r="AO49" s="208">
        <f t="shared" si="168"/>
        <v>1.622030111032684</v>
      </c>
      <c r="AP49" s="208">
        <f t="shared" ref="AP49:AQ49" si="169">AP12/AP5</f>
        <v>1.0278519095911034</v>
      </c>
      <c r="AQ49" s="208">
        <f t="shared" si="169"/>
        <v>1.4763723053864604</v>
      </c>
      <c r="AR49" s="208">
        <f t="shared" ref="AR49:AS49" si="170">AR12/AR5</f>
        <v>0.52486155380133226</v>
      </c>
      <c r="AS49" s="208">
        <f t="shared" si="170"/>
        <v>0.39430894308943087</v>
      </c>
      <c r="AT49" s="208">
        <f t="shared" ref="AT49:AU49" si="171">AT12/AT5</f>
        <v>0.33199372856749865</v>
      </c>
      <c r="AU49" s="208">
        <f t="shared" si="171"/>
        <v>0.1872287445667547</v>
      </c>
      <c r="AV49" s="208">
        <f t="shared" ref="AV49:AW49" si="172">AV12/AV5</f>
        <v>0.13438433746984757</v>
      </c>
      <c r="AW49" s="208">
        <f t="shared" si="172"/>
        <v>0.64968307811137727</v>
      </c>
      <c r="AX49" s="208">
        <f t="shared" ref="AX49:AY49" si="173">AX12/AX5</f>
        <v>9.3455846082462615E-2</v>
      </c>
      <c r="AY49" s="208">
        <f t="shared" si="173"/>
        <v>9.6101486878923545E-2</v>
      </c>
      <c r="AZ49" s="208">
        <f t="shared" ref="AZ49:BA49" si="174">AZ12/AZ5</f>
        <v>3.3432215567066818E-2</v>
      </c>
      <c r="BA49" s="208">
        <f t="shared" si="174"/>
        <v>6.0967690491091631E-2</v>
      </c>
      <c r="BB49" s="208">
        <f t="shared" ref="BB49:BC49" si="175">BB12/BB5</f>
        <v>4.185107626892952E-3</v>
      </c>
      <c r="BC49" s="208" t="e">
        <f t="shared" si="175"/>
        <v>#DIV/0!</v>
      </c>
      <c r="BD49" s="3"/>
      <c r="BE49" s="2"/>
    </row>
    <row r="50" spans="1:57" s="193" customFormat="1">
      <c r="A50" s="3"/>
      <c r="B50" s="206"/>
      <c r="C50" s="206"/>
      <c r="D50" s="206"/>
      <c r="E50" s="206"/>
      <c r="F50" s="206"/>
      <c r="G50" s="206"/>
      <c r="H50" s="206"/>
      <c r="I50" s="206"/>
      <c r="J50" s="206"/>
      <c r="K50" s="206"/>
      <c r="L50" s="206"/>
      <c r="M50" s="206"/>
      <c r="N50" s="206"/>
      <c r="O50" s="206"/>
      <c r="P50" s="206"/>
      <c r="Q50" s="206"/>
      <c r="R50" s="206"/>
      <c r="S50" s="206"/>
      <c r="T50" s="206"/>
      <c r="U50" s="206"/>
      <c r="V50" s="206"/>
      <c r="W50" s="206"/>
      <c r="X50" s="206"/>
      <c r="Y50" s="206"/>
      <c r="Z50" s="206"/>
      <c r="AA50" s="206"/>
      <c r="AB50" s="206"/>
      <c r="AC50" s="206"/>
      <c r="AD50" s="207"/>
      <c r="AE50" s="210"/>
      <c r="AF50" s="208"/>
      <c r="AG50" s="208"/>
      <c r="AH50" s="208"/>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3"/>
      <c r="BE50" s="2"/>
    </row>
    <row r="51" spans="1:57" s="193" customFormat="1">
      <c r="A51" s="3" t="s">
        <v>425</v>
      </c>
      <c r="B51" s="206"/>
      <c r="C51" s="206"/>
      <c r="D51" s="206"/>
      <c r="E51" s="206"/>
      <c r="F51" s="206"/>
      <c r="G51" s="206"/>
      <c r="H51" s="206"/>
      <c r="I51" s="206"/>
      <c r="J51" s="206">
        <f>J13/J5</f>
        <v>-0.19383328364042468</v>
      </c>
      <c r="K51" s="206">
        <f t="shared" ref="K51:N51" si="176">K13/K5</f>
        <v>-0.23339523462933723</v>
      </c>
      <c r="L51" s="206">
        <f t="shared" si="176"/>
        <v>-0.40397298571012341</v>
      </c>
      <c r="M51" s="206">
        <f t="shared" si="176"/>
        <v>-0.40159666761615537</v>
      </c>
      <c r="N51" s="206">
        <f t="shared" si="176"/>
        <v>-0.13308867815370407</v>
      </c>
      <c r="O51" s="206">
        <f t="shared" ref="O51:Y51" si="177">O13/O5</f>
        <v>-0.14226889074619595</v>
      </c>
      <c r="P51" s="206">
        <f t="shared" si="177"/>
        <v>-0.18420213352258841</v>
      </c>
      <c r="Q51" s="206">
        <f t="shared" si="177"/>
        <v>-0.4305476900218852</v>
      </c>
      <c r="R51" s="206">
        <f t="shared" si="177"/>
        <v>-0.37773705441973193</v>
      </c>
      <c r="S51" s="206">
        <f t="shared" si="177"/>
        <v>-0.38534792493183312</v>
      </c>
      <c r="T51" s="206">
        <f t="shared" si="177"/>
        <v>-0.22187037802790985</v>
      </c>
      <c r="U51" s="206">
        <f t="shared" si="177"/>
        <v>-4.0447028357070931E-2</v>
      </c>
      <c r="V51" s="206">
        <f t="shared" si="177"/>
        <v>-0.13433605275410163</v>
      </c>
      <c r="W51" s="206">
        <f t="shared" si="177"/>
        <v>-1.925030473173072E-2</v>
      </c>
      <c r="X51" s="206">
        <f t="shared" si="177"/>
        <v>-0.12036468196429781</v>
      </c>
      <c r="Y51" s="206">
        <f t="shared" si="177"/>
        <v>-0.67615858871539014</v>
      </c>
      <c r="Z51" s="206">
        <f t="shared" ref="Z51:AA51" si="178">Z13/Z5</f>
        <v>-0.35061186578085723</v>
      </c>
      <c r="AA51" s="206">
        <f t="shared" si="178"/>
        <v>-0.27431906614785995</v>
      </c>
      <c r="AB51" s="206">
        <f t="shared" ref="AB51:AC51" si="179">AB13/AB5</f>
        <v>-0.36589145946224666</v>
      </c>
      <c r="AC51" s="206">
        <f t="shared" si="179"/>
        <v>-0.22623790077459688</v>
      </c>
      <c r="AD51" s="207">
        <f t="shared" ref="AD51:AF51" si="180">AD13/AD5</f>
        <v>-0.1866693858101276</v>
      </c>
      <c r="AE51" s="210">
        <f t="shared" si="180"/>
        <v>-0.3502673796791444</v>
      </c>
      <c r="AF51" s="208">
        <f t="shared" si="180"/>
        <v>-0.30796379637181737</v>
      </c>
      <c r="AG51" s="208">
        <f t="shared" ref="AG51:AH51" si="181">AG13/AG5</f>
        <v>-0.10611409576959929</v>
      </c>
      <c r="AH51" s="208">
        <f t="shared" si="181"/>
        <v>-0.20782762076492187</v>
      </c>
      <c r="AI51" s="208">
        <f t="shared" ref="AI51:AJ51" si="182">AI13/AI5</f>
        <v>-1.9891500904159132E-2</v>
      </c>
      <c r="AJ51" s="208">
        <f t="shared" si="182"/>
        <v>-0.19484798491364852</v>
      </c>
      <c r="AK51" s="208">
        <f t="shared" ref="AK51:AL51" si="183">AK13/AK5</f>
        <v>-0.10140241665467305</v>
      </c>
      <c r="AL51" s="208">
        <f t="shared" si="183"/>
        <v>-0.21713943802146726</v>
      </c>
      <c r="AM51" s="208">
        <f t="shared" ref="AM51:AO51" si="184">AM13/AM5</f>
        <v>-0.66452673659446271</v>
      </c>
      <c r="AN51" s="208">
        <f t="shared" si="184"/>
        <v>-0.81284047871071607</v>
      </c>
      <c r="AO51" s="208">
        <f t="shared" si="184"/>
        <v>-1.7458743450428538</v>
      </c>
      <c r="AP51" s="208">
        <f t="shared" ref="AP51:AQ51" si="185">AP13/AP5</f>
        <v>-1.1441811026198583</v>
      </c>
      <c r="AQ51" s="208">
        <f t="shared" si="185"/>
        <v>-1.623920527753727</v>
      </c>
      <c r="AR51" s="208">
        <f t="shared" ref="AR51:AS51" si="186">AR13/AR5</f>
        <v>-0.73889905405249734</v>
      </c>
      <c r="AS51" s="208">
        <f t="shared" si="186"/>
        <v>-0.55691056910569103</v>
      </c>
      <c r="AT51" s="208">
        <f t="shared" ref="AT51:AU51" si="187">AT13/AT5</f>
        <v>-0.4940630783184648</v>
      </c>
      <c r="AU51" s="208">
        <f t="shared" si="187"/>
        <v>-0.38978944397974963</v>
      </c>
      <c r="AV51" s="208">
        <f t="shared" ref="AV51:AW51" si="188">AV13/AV5</f>
        <v>-0.30319885932868074</v>
      </c>
      <c r="AW51" s="208">
        <f t="shared" si="188"/>
        <v>-0.82147193902116034</v>
      </c>
      <c r="AX51" s="208">
        <f t="shared" ref="AX51:AY51" si="189">AX13/AX5</f>
        <v>-0.21384766972802122</v>
      </c>
      <c r="AY51" s="208">
        <f t="shared" si="189"/>
        <v>-0.2245777483135436</v>
      </c>
      <c r="AZ51" s="208">
        <f t="shared" ref="AZ51:BA51" si="190">AZ13/AZ5</f>
        <v>-0.19322867278146791</v>
      </c>
      <c r="BA51" s="208">
        <f t="shared" si="190"/>
        <v>-0.33713680156140946</v>
      </c>
      <c r="BB51" s="208">
        <f t="shared" ref="BB51:BC51" si="191">BB13/BB5</f>
        <v>-0.18079951102843428</v>
      </c>
      <c r="BC51" s="208" t="e">
        <f t="shared" si="191"/>
        <v>#DIV/0!</v>
      </c>
      <c r="BD51" s="3"/>
      <c r="BE51" s="2"/>
    </row>
    <row r="52" spans="1:57" s="193" customFormat="1">
      <c r="A52" s="3" t="s">
        <v>50</v>
      </c>
      <c r="B52" s="206"/>
      <c r="C52" s="206"/>
      <c r="D52" s="206"/>
      <c r="E52" s="206"/>
      <c r="F52" s="206"/>
      <c r="G52" s="206"/>
      <c r="H52" s="206"/>
      <c r="I52" s="206"/>
      <c r="J52" s="206"/>
      <c r="K52" s="206"/>
      <c r="L52" s="206"/>
      <c r="M52" s="206"/>
      <c r="N52" s="206">
        <f>N13/J13-1</f>
        <v>-0.23296543298855599</v>
      </c>
      <c r="O52" s="206">
        <f t="shared" ref="O52:AC52" si="192">O13/K13-1</f>
        <v>-0.47690121490891368</v>
      </c>
      <c r="P52" s="206">
        <f t="shared" si="192"/>
        <v>-0.61320426186435717</v>
      </c>
      <c r="Q52" s="206">
        <f t="shared" si="192"/>
        <v>-0.11459098409151136</v>
      </c>
      <c r="R52" s="206">
        <f t="shared" si="192"/>
        <v>1.523220266360251</v>
      </c>
      <c r="S52" s="206">
        <f t="shared" si="192"/>
        <v>1.8143887370774587</v>
      </c>
      <c r="T52" s="206">
        <f t="shared" si="192"/>
        <v>0.31475079525518868</v>
      </c>
      <c r="U52" s="206">
        <f t="shared" si="192"/>
        <v>-0.88878065380629512</v>
      </c>
      <c r="V52" s="206">
        <f t="shared" si="192"/>
        <v>-0.62082572685459203</v>
      </c>
      <c r="W52" s="206">
        <f t="shared" si="192"/>
        <v>-0.94851377099410528</v>
      </c>
      <c r="X52" s="206">
        <f t="shared" si="192"/>
        <v>-0.67804895633519369</v>
      </c>
      <c r="Y52" s="206">
        <f t="shared" si="192"/>
        <v>2.7206824253116717</v>
      </c>
      <c r="Z52" s="206">
        <f t="shared" si="192"/>
        <v>-0.38783480178313789</v>
      </c>
      <c r="AA52" s="206">
        <f t="shared" si="192"/>
        <v>2.5135103577858593</v>
      </c>
      <c r="AB52" s="206">
        <f t="shared" si="192"/>
        <v>0.25432315475673306</v>
      </c>
      <c r="AC52" s="206">
        <f t="shared" si="192"/>
        <v>-0.6460445850623211</v>
      </c>
      <c r="AD52" s="207">
        <f t="shared" ref="AD52:AM52" si="193">AD13/Z13-1</f>
        <v>-0.41903988040112294</v>
      </c>
      <c r="AE52" s="210">
        <f t="shared" si="193"/>
        <v>0.3936170212765957</v>
      </c>
      <c r="AF52" s="208">
        <f t="shared" si="193"/>
        <v>-6.0660397119274068E-2</v>
      </c>
      <c r="AG52" s="208">
        <f t="shared" si="193"/>
        <v>-0.48957824853250598</v>
      </c>
      <c r="AH52" s="208">
        <f t="shared" si="193"/>
        <v>0.14345465772366972</v>
      </c>
      <c r="AI52" s="208">
        <f t="shared" si="193"/>
        <v>-0.94402035623409675</v>
      </c>
      <c r="AJ52" s="208">
        <f t="shared" si="193"/>
        <v>-0.35344827586206895</v>
      </c>
      <c r="AK52" s="208">
        <f t="shared" si="193"/>
        <v>2.2605649279108908E-2</v>
      </c>
      <c r="AL52" s="208">
        <f t="shared" si="193"/>
        <v>4.3382305658139497E-2</v>
      </c>
      <c r="AM52" s="208">
        <f t="shared" si="193"/>
        <v>32.718918702499984</v>
      </c>
      <c r="AN52" s="208">
        <f t="shared" ref="AN52:AS52" si="194">AN13/AJ13-1</f>
        <v>2.8315993397466714</v>
      </c>
      <c r="AO52" s="208">
        <f t="shared" si="194"/>
        <v>13.057620613351189</v>
      </c>
      <c r="AP52" s="208">
        <f t="shared" si="194"/>
        <v>3.6106648805007069</v>
      </c>
      <c r="AQ52" s="208">
        <f t="shared" si="194"/>
        <v>1.0968601402820091</v>
      </c>
      <c r="AR52" s="208">
        <f t="shared" si="194"/>
        <v>-0.1639328007555475</v>
      </c>
      <c r="AS52" s="208">
        <f t="shared" si="194"/>
        <v>-0.68046376863132185</v>
      </c>
      <c r="AT52" s="208">
        <f t="shared" ref="AT52:BC52" si="195">AT13/AP13-1</f>
        <v>-0.69738074956981433</v>
      </c>
      <c r="AU52" s="208">
        <f t="shared" si="195"/>
        <v>-0.82592139158798794</v>
      </c>
      <c r="AV52" s="208">
        <f t="shared" si="195"/>
        <v>-0.67334165461865658</v>
      </c>
      <c r="AW52" s="208">
        <f t="shared" si="195"/>
        <v>0.20761221688321374</v>
      </c>
      <c r="AX52" s="208">
        <f t="shared" si="195"/>
        <v>-0.39398318744098149</v>
      </c>
      <c r="AY52" s="208">
        <f t="shared" si="195"/>
        <v>-0.22633909477547043</v>
      </c>
      <c r="AZ52" s="208">
        <f t="shared" si="195"/>
        <v>-0.22426469215193834</v>
      </c>
      <c r="BA52" s="208">
        <f t="shared" si="195"/>
        <v>-0.51024675278816156</v>
      </c>
      <c r="BB52" s="208">
        <f t="shared" si="195"/>
        <v>-0.14817166100260071</v>
      </c>
      <c r="BC52" s="208">
        <f t="shared" si="195"/>
        <v>-1</v>
      </c>
      <c r="BD52" s="3"/>
      <c r="BE52" s="2"/>
    </row>
    <row r="53" spans="1:57" s="193" customFormat="1">
      <c r="A53" s="3"/>
      <c r="B53" s="206"/>
      <c r="C53" s="206"/>
      <c r="D53" s="206"/>
      <c r="E53" s="206"/>
      <c r="F53" s="206"/>
      <c r="G53" s="206"/>
      <c r="H53" s="206"/>
      <c r="I53" s="206"/>
      <c r="J53" s="206"/>
      <c r="K53" s="206"/>
      <c r="L53" s="206"/>
      <c r="M53" s="206"/>
      <c r="N53" s="206"/>
      <c r="O53" s="206"/>
      <c r="P53" s="206"/>
      <c r="Q53" s="206"/>
      <c r="R53" s="206"/>
      <c r="S53" s="206"/>
      <c r="T53" s="206"/>
      <c r="U53" s="206"/>
      <c r="V53" s="206"/>
      <c r="W53" s="206"/>
      <c r="X53" s="206"/>
      <c r="Y53" s="206"/>
      <c r="Z53" s="206"/>
      <c r="AA53" s="206"/>
      <c r="AB53" s="206"/>
      <c r="AC53" s="206"/>
      <c r="AD53" s="207"/>
      <c r="AE53" s="210"/>
      <c r="AF53" s="208"/>
      <c r="AG53" s="208"/>
      <c r="AH53" s="208"/>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3"/>
      <c r="BE53" s="2"/>
    </row>
    <row r="54" spans="1:57" s="27" customFormat="1">
      <c r="A54" s="510" t="s">
        <v>428</v>
      </c>
      <c r="B54" s="522" t="str">
        <f>'Revenue, EBITDA, capex breakout'!B$1</f>
        <v>Q1 12</v>
      </c>
      <c r="C54" s="522" t="str">
        <f>'Revenue, EBITDA, capex breakout'!C$1</f>
        <v>Q2 12</v>
      </c>
      <c r="D54" s="522" t="str">
        <f>'Revenue, EBITDA, capex breakout'!D$1</f>
        <v>Q3 12</v>
      </c>
      <c r="E54" s="522" t="str">
        <f>'Revenue, EBITDA, capex breakout'!E$1</f>
        <v>4Q12</v>
      </c>
      <c r="F54" s="522" t="str">
        <f>'Revenue, EBITDA, capex breakout'!F$1</f>
        <v>1Q13</v>
      </c>
      <c r="G54" s="522" t="str">
        <f>'Revenue, EBITDA, capex breakout'!G$1</f>
        <v>2Q13</v>
      </c>
      <c r="H54" s="522" t="str">
        <f>'Revenue, EBITDA, capex breakout'!H$1</f>
        <v>3Q13</v>
      </c>
      <c r="I54" s="522" t="str">
        <f>'Revenue, EBITDA, capex breakout'!I$1</f>
        <v>4Q13</v>
      </c>
      <c r="J54" s="522" t="str">
        <f>'Revenue, EBITDA, capex breakout'!J$1</f>
        <v>1Q14</v>
      </c>
      <c r="K54" s="522" t="str">
        <f>'Revenue, EBITDA, capex breakout'!K$1</f>
        <v>2Q14</v>
      </c>
      <c r="L54" s="522" t="str">
        <f>'Revenue, EBITDA, capex breakout'!L$1</f>
        <v>3Q14</v>
      </c>
      <c r="M54" s="522" t="str">
        <f>'Revenue, EBITDA, capex breakout'!M$1</f>
        <v>4Q14</v>
      </c>
      <c r="N54" s="522" t="str">
        <f>'Revenue, EBITDA, capex breakout'!N$1</f>
        <v>1Q15</v>
      </c>
      <c r="O54" s="522" t="str">
        <f>'Revenue, EBITDA, capex breakout'!O$1</f>
        <v>2Q15</v>
      </c>
      <c r="P54" s="522" t="str">
        <f>'Revenue, EBITDA, capex breakout'!P$1</f>
        <v>3Q15</v>
      </c>
      <c r="Q54" s="522" t="str">
        <f>'Revenue, EBITDA, capex breakout'!Q$1</f>
        <v>4Q15</v>
      </c>
      <c r="R54" s="522" t="str">
        <f>'Revenue, EBITDA, capex breakout'!R$1</f>
        <v>1Q16</v>
      </c>
      <c r="S54" s="522" t="str">
        <f>'Revenue, EBITDA, capex breakout'!S$1</f>
        <v>2Q16</v>
      </c>
      <c r="T54" s="522" t="str">
        <f>'Revenue, EBITDA, capex breakout'!T$1</f>
        <v>3Q16</v>
      </c>
      <c r="U54" s="522" t="str">
        <f>'Revenue, EBITDA, capex breakout'!U$1</f>
        <v>4Q16</v>
      </c>
      <c r="V54" s="522" t="str">
        <f>'Revenue, EBITDA, capex breakout'!V$1</f>
        <v>1Q17</v>
      </c>
      <c r="W54" s="522" t="str">
        <f>'Revenue, EBITDA, capex breakout'!W$1</f>
        <v>2Q17</v>
      </c>
      <c r="X54" s="522" t="str">
        <f>'Revenue, EBITDA, capex breakout'!X$1</f>
        <v>3Q17</v>
      </c>
      <c r="Y54" s="522" t="str">
        <f>'Revenue, EBITDA, capex breakout'!Y$1</f>
        <v>4Q17</v>
      </c>
      <c r="Z54" s="522" t="str">
        <f>'Revenue, EBITDA, capex breakout'!Z$1</f>
        <v>1Q18</v>
      </c>
      <c r="AA54" s="522" t="str">
        <f>'Revenue, EBITDA, capex breakout'!AA$1</f>
        <v>2Q18</v>
      </c>
      <c r="AB54" s="522" t="str">
        <f>'Revenue, EBITDA, capex breakout'!AB$1</f>
        <v>3Q18</v>
      </c>
      <c r="AC54" s="522" t="str">
        <f>'Revenue, EBITDA, capex breakout'!AC$1</f>
        <v>4Q18</v>
      </c>
      <c r="AD54" s="522" t="str">
        <f t="shared" ref="AD54:AI54" si="196">AD41</f>
        <v>1Q19</v>
      </c>
      <c r="AE54" s="522" t="str">
        <f t="shared" si="196"/>
        <v>2Q19</v>
      </c>
      <c r="AF54" s="522" t="str">
        <f t="shared" si="196"/>
        <v>3Q19</v>
      </c>
      <c r="AG54" s="522" t="str">
        <f t="shared" si="196"/>
        <v>4Q19</v>
      </c>
      <c r="AH54" s="522" t="str">
        <f t="shared" si="196"/>
        <v>1Q20</v>
      </c>
      <c r="AI54" s="522" t="str">
        <f t="shared" si="196"/>
        <v>2Q20</v>
      </c>
      <c r="AJ54" s="522" t="str">
        <f t="shared" ref="AJ54:AK54" si="197">AJ41</f>
        <v>3Q20</v>
      </c>
      <c r="AK54" s="522" t="str">
        <f t="shared" si="197"/>
        <v>4Q20</v>
      </c>
      <c r="AL54" s="522" t="str">
        <f t="shared" ref="AL54:AM54" si="198">AL41</f>
        <v>1Q21</v>
      </c>
      <c r="AM54" s="522" t="str">
        <f t="shared" si="198"/>
        <v>2Q21</v>
      </c>
      <c r="AN54" s="522" t="str">
        <f t="shared" ref="AN54:AO54" si="199">AN41</f>
        <v>3Q21</v>
      </c>
      <c r="AO54" s="522" t="str">
        <f t="shared" si="199"/>
        <v>4Q21</v>
      </c>
      <c r="AP54" s="522" t="str">
        <f t="shared" ref="AP54:AQ54" si="200">AP41</f>
        <v>1Q22</v>
      </c>
      <c r="AQ54" s="522" t="str">
        <f t="shared" si="200"/>
        <v>2Q22</v>
      </c>
      <c r="AR54" s="522" t="str">
        <f t="shared" ref="AR54:AS54" si="201">AR41</f>
        <v>3Q22</v>
      </c>
      <c r="AS54" s="522" t="str">
        <f t="shared" si="201"/>
        <v>4Q22</v>
      </c>
      <c r="AT54" s="522" t="str">
        <f t="shared" ref="AT54:AU54" si="202">AT41</f>
        <v>1Q23</v>
      </c>
      <c r="AU54" s="522" t="str">
        <f t="shared" si="202"/>
        <v>2Q23</v>
      </c>
      <c r="AV54" s="522" t="str">
        <f t="shared" ref="AV54:AW54" si="203">AV41</f>
        <v>3Q23</v>
      </c>
      <c r="AW54" s="522" t="str">
        <f t="shared" si="203"/>
        <v>4Q23</v>
      </c>
      <c r="AX54" s="522" t="str">
        <f t="shared" ref="AX54:AY54" si="204">AX41</f>
        <v>1Q24</v>
      </c>
      <c r="AY54" s="522" t="str">
        <f t="shared" si="204"/>
        <v>2Q24</v>
      </c>
      <c r="AZ54" s="522" t="str">
        <f t="shared" ref="AZ54:BA54" si="205">AZ41</f>
        <v>3Q24</v>
      </c>
      <c r="BA54" s="522" t="str">
        <f t="shared" si="205"/>
        <v>4Q24</v>
      </c>
      <c r="BB54" s="522" t="str">
        <f t="shared" ref="BB54:BC54" si="206">BB41</f>
        <v>1Q25</v>
      </c>
      <c r="BC54" s="522" t="str">
        <f t="shared" si="206"/>
        <v>2Q25</v>
      </c>
      <c r="BD54" s="510"/>
      <c r="BE54" s="510"/>
    </row>
    <row r="55" spans="1:57" s="193" customFormat="1">
      <c r="A55" s="3"/>
      <c r="B55" s="206"/>
      <c r="C55" s="206"/>
      <c r="D55" s="206"/>
      <c r="E55" s="206"/>
      <c r="F55" s="206"/>
      <c r="G55" s="206"/>
      <c r="H55" s="206"/>
      <c r="I55" s="206"/>
      <c r="J55" s="206"/>
      <c r="K55" s="206"/>
      <c r="L55" s="206"/>
      <c r="M55" s="206"/>
      <c r="N55" s="206"/>
      <c r="O55" s="206"/>
      <c r="P55" s="206"/>
      <c r="Q55" s="206"/>
      <c r="R55" s="206"/>
      <c r="S55" s="206"/>
      <c r="T55" s="206"/>
      <c r="U55" s="206"/>
      <c r="V55" s="206"/>
      <c r="W55" s="206"/>
      <c r="X55" s="206"/>
      <c r="Y55" s="206"/>
      <c r="Z55" s="206"/>
      <c r="AA55" s="206"/>
      <c r="AB55" s="206"/>
      <c r="AC55" s="206"/>
      <c r="AD55" s="207"/>
      <c r="AE55" s="210"/>
      <c r="AF55" s="208"/>
      <c r="AG55" s="208"/>
      <c r="AH55" s="208"/>
      <c r="AI55" s="208"/>
      <c r="AJ55" s="208"/>
      <c r="AK55" s="208"/>
      <c r="AL55" s="208"/>
      <c r="AM55" s="208"/>
      <c r="AN55" s="208"/>
      <c r="AO55" s="208"/>
      <c r="AP55" s="208"/>
      <c r="AQ55" s="208"/>
      <c r="AR55" s="208"/>
      <c r="AS55" s="208"/>
      <c r="AT55" s="208"/>
      <c r="AU55" s="208"/>
      <c r="AV55" s="208"/>
      <c r="AW55" s="208"/>
      <c r="AX55" s="208"/>
      <c r="AY55" s="208"/>
      <c r="AZ55" s="208"/>
      <c r="BA55" s="208"/>
      <c r="BB55" s="208"/>
      <c r="BC55" s="208"/>
      <c r="BD55" s="3"/>
      <c r="BE55" s="2" t="s">
        <v>778</v>
      </c>
    </row>
    <row r="56" spans="1:57" s="193" customFormat="1">
      <c r="A56" s="3" t="s">
        <v>84</v>
      </c>
      <c r="B56" s="206"/>
      <c r="C56" s="206"/>
      <c r="D56" s="206"/>
      <c r="E56" s="206"/>
      <c r="F56" s="206">
        <f t="shared" ref="F56:AC56" si="207">F18/B18-1</f>
        <v>0.31540882012188853</v>
      </c>
      <c r="G56" s="206">
        <f t="shared" si="207"/>
        <v>0.28418463785548598</v>
      </c>
      <c r="H56" s="206">
        <f t="shared" si="207"/>
        <v>0.15597232270391603</v>
      </c>
      <c r="I56" s="206">
        <f t="shared" si="207"/>
        <v>0.13221141474962694</v>
      </c>
      <c r="J56" s="206">
        <f t="shared" si="207"/>
        <v>3.0317437686748772E-2</v>
      </c>
      <c r="K56" s="206">
        <f t="shared" si="207"/>
        <v>0.1751452734647454</v>
      </c>
      <c r="L56" s="206">
        <f t="shared" si="207"/>
        <v>0.16020267113857023</v>
      </c>
      <c r="M56" s="206">
        <f t="shared" si="207"/>
        <v>0.14648050832792214</v>
      </c>
      <c r="N56" s="206">
        <f t="shared" si="207"/>
        <v>0.17495042903339053</v>
      </c>
      <c r="O56" s="206">
        <f t="shared" si="207"/>
        <v>-1.8524209254258128E-2</v>
      </c>
      <c r="P56" s="206">
        <f t="shared" si="207"/>
        <v>-5.5636101640509361E-2</v>
      </c>
      <c r="Q56" s="206">
        <f t="shared" si="207"/>
        <v>-0.11994179594524212</v>
      </c>
      <c r="R56" s="206">
        <f t="shared" si="207"/>
        <v>-0.11610512549351792</v>
      </c>
      <c r="S56" s="206">
        <f t="shared" si="207"/>
        <v>-9.0420095291189218E-2</v>
      </c>
      <c r="T56" s="206">
        <f t="shared" si="207"/>
        <v>-8.4511055710714378E-2</v>
      </c>
      <c r="U56" s="206">
        <f t="shared" si="207"/>
        <v>3.794686392668023E-2</v>
      </c>
      <c r="V56" s="206">
        <f t="shared" si="207"/>
        <v>1.459478073109155E-2</v>
      </c>
      <c r="W56" s="206">
        <f t="shared" si="207"/>
        <v>-0.15423172254098194</v>
      </c>
      <c r="X56" s="206">
        <f t="shared" si="207"/>
        <v>-0.1431381188352584</v>
      </c>
      <c r="Y56" s="206">
        <f t="shared" si="207"/>
        <v>-0.21768342497888071</v>
      </c>
      <c r="Z56" s="206">
        <f t="shared" si="207"/>
        <v>-0.2234708869091202</v>
      </c>
      <c r="AA56" s="206">
        <f t="shared" si="207"/>
        <v>-1.9184552104026142E-2</v>
      </c>
      <c r="AB56" s="206">
        <f t="shared" si="207"/>
        <v>-4.2295216940623548E-2</v>
      </c>
      <c r="AC56" s="206">
        <f t="shared" si="207"/>
        <v>-6.2497182285920716E-2</v>
      </c>
      <c r="AD56" s="207">
        <f t="shared" ref="AD56:AM56" si="208">AD18/Z18-1</f>
        <v>3.1017901625012723E-2</v>
      </c>
      <c r="AE56" s="207">
        <f t="shared" si="208"/>
        <v>3.257331579068623E-2</v>
      </c>
      <c r="AF56" s="208">
        <f t="shared" si="208"/>
        <v>9.4751745195758907E-2</v>
      </c>
      <c r="AG56" s="208">
        <f t="shared" si="208"/>
        <v>0.16487316799195728</v>
      </c>
      <c r="AH56" s="208">
        <f t="shared" si="208"/>
        <v>0.10792494333899705</v>
      </c>
      <c r="AI56" s="208">
        <f t="shared" si="208"/>
        <v>0.10111180365290373</v>
      </c>
      <c r="AJ56" s="208">
        <f t="shared" si="208"/>
        <v>0.11644614080298354</v>
      </c>
      <c r="AK56" s="208">
        <f t="shared" si="208"/>
        <v>0.17733383533044367</v>
      </c>
      <c r="AL56" s="208">
        <f t="shared" si="208"/>
        <v>0.16379562262834435</v>
      </c>
      <c r="AM56" s="208">
        <f t="shared" si="208"/>
        <v>0.21135881916995425</v>
      </c>
      <c r="AN56" s="208">
        <f t="shared" ref="AN56:AS56" si="209">AN18/AJ18-1</f>
        <v>0.21931127577607157</v>
      </c>
      <c r="AO56" s="208">
        <f t="shared" si="209"/>
        <v>0.17151066163396433</v>
      </c>
      <c r="AP56" s="208">
        <f t="shared" si="209"/>
        <v>0.26754954055241997</v>
      </c>
      <c r="AQ56" s="208">
        <f t="shared" si="209"/>
        <v>0.19892901965166798</v>
      </c>
      <c r="AR56" s="208">
        <f t="shared" si="209"/>
        <v>0.19114553274428636</v>
      </c>
      <c r="AS56" s="208">
        <f t="shared" si="209"/>
        <v>0.20855580096111481</v>
      </c>
      <c r="AT56" s="208">
        <f t="shared" ref="AT56:BC56" si="210">AT18/AP18-1</f>
        <v>0.18646218007087056</v>
      </c>
      <c r="AU56" s="208">
        <f t="shared" si="210"/>
        <v>0.21574801485610928</v>
      </c>
      <c r="AV56" s="208">
        <f t="shared" si="210"/>
        <v>0.21771719567556125</v>
      </c>
      <c r="AW56" s="208">
        <f t="shared" si="210"/>
        <v>0.2007525286567331</v>
      </c>
      <c r="AX56" s="208">
        <f t="shared" si="210"/>
        <v>0.16643578473123566</v>
      </c>
      <c r="AY56" s="208">
        <f t="shared" si="210"/>
        <v>-1.6123939057168801E-2</v>
      </c>
      <c r="AZ56" s="208">
        <f t="shared" si="210"/>
        <v>-7.1290412933715741E-2</v>
      </c>
      <c r="BA56" s="208">
        <f t="shared" si="210"/>
        <v>-0.15756988860957621</v>
      </c>
      <c r="BB56" s="208">
        <f t="shared" si="210"/>
        <v>-0.14844355260995634</v>
      </c>
      <c r="BC56" s="208">
        <f t="shared" si="210"/>
        <v>-1.1058759328648859E-2</v>
      </c>
      <c r="BD56" s="3"/>
      <c r="BE56" s="2"/>
    </row>
    <row r="57" spans="1:57">
      <c r="A57" s="2"/>
      <c r="B57" s="206"/>
      <c r="C57" s="206"/>
      <c r="D57" s="206"/>
      <c r="E57" s="206"/>
      <c r="F57" s="206"/>
      <c r="G57" s="206"/>
      <c r="H57" s="206"/>
      <c r="I57" s="206"/>
      <c r="J57" s="206"/>
      <c r="K57" s="206"/>
      <c r="L57" s="206"/>
      <c r="M57" s="206"/>
      <c r="N57" s="206"/>
      <c r="O57" s="206"/>
      <c r="P57" s="206"/>
      <c r="Q57" s="206"/>
      <c r="R57" s="206"/>
      <c r="S57" s="206"/>
      <c r="T57" s="206"/>
      <c r="U57" s="206"/>
      <c r="V57" s="206"/>
      <c r="W57" s="206"/>
      <c r="X57" s="206"/>
      <c r="Y57" s="206"/>
      <c r="Z57" s="206"/>
      <c r="AA57" s="206"/>
      <c r="AB57" s="206"/>
      <c r="AC57" s="206"/>
      <c r="AD57" s="207"/>
      <c r="AE57" s="207"/>
      <c r="AF57" s="208"/>
      <c r="AG57" s="208"/>
      <c r="AH57" s="208"/>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
      <c r="BE57" s="2"/>
    </row>
    <row r="58" spans="1:57">
      <c r="A58" s="2" t="s">
        <v>92</v>
      </c>
      <c r="B58" s="206">
        <f>B18/'Revenue, EBITDA, capex breakout'!B13</f>
        <v>0.25780004595019707</v>
      </c>
      <c r="C58" s="206">
        <f>C18/'Revenue, EBITDA, capex breakout'!C13</f>
        <v>0.26958042362968881</v>
      </c>
      <c r="D58" s="206">
        <f>D18/'Revenue, EBITDA, capex breakout'!D13</f>
        <v>0.29175664485541247</v>
      </c>
      <c r="E58" s="206">
        <f>E18/'Revenue, EBITDA, capex breakout'!E13</f>
        <v>0.29048875030700394</v>
      </c>
      <c r="F58" s="206">
        <f>F18/'Revenue, EBITDA, capex breakout'!F13</f>
        <v>0.29748683469336074</v>
      </c>
      <c r="G58" s="206">
        <f>G18/'Revenue, EBITDA, capex breakout'!G13</f>
        <v>0.29490410985932164</v>
      </c>
      <c r="H58" s="206">
        <f>H18/'Revenue, EBITDA, capex breakout'!H13</f>
        <v>0.30788804071246817</v>
      </c>
      <c r="I58" s="206">
        <f>I18/'Revenue, EBITDA, capex breakout'!I13</f>
        <v>0.3012460632616733</v>
      </c>
      <c r="J58" s="206">
        <f>J18/'Revenue, EBITDA, capex breakout'!J13</f>
        <v>0.29268399954105578</v>
      </c>
      <c r="K58" s="206">
        <f>K18/'Revenue, EBITDA, capex breakout'!K13</f>
        <v>0.32947151100148186</v>
      </c>
      <c r="L58" s="206">
        <f>L18/'Revenue, EBITDA, capex breakout'!L13</f>
        <v>0.32954864485721452</v>
      </c>
      <c r="M58" s="206">
        <f>M18/'Revenue, EBITDA, capex breakout'!M13</f>
        <v>0.31784619368296935</v>
      </c>
      <c r="N58" s="206">
        <f>N18/'Revenue, EBITDA, capex breakout'!N13</f>
        <v>0.3034865242012752</v>
      </c>
      <c r="O58" s="206">
        <f>O18/'Revenue, EBITDA, capex breakout'!O13</f>
        <v>0.30184175353684795</v>
      </c>
      <c r="P58" s="206">
        <f>P18/'Revenue, EBITDA, capex breakout'!P13</f>
        <v>0.29407483680993746</v>
      </c>
      <c r="Q58" s="206">
        <f>Q18/'Revenue, EBITDA, capex breakout'!Q13</f>
        <v>0.27004638592253044</v>
      </c>
      <c r="R58" s="206">
        <f>R18/'Revenue, EBITDA, capex breakout'!R13</f>
        <v>0.26021204969392797</v>
      </c>
      <c r="S58" s="206">
        <f>S18/'Revenue, EBITDA, capex breakout'!S13</f>
        <v>0.26314021545412969</v>
      </c>
      <c r="T58" s="206">
        <f>T18/'Revenue, EBITDA, capex breakout'!T13</f>
        <v>0.25972684074146407</v>
      </c>
      <c r="U58" s="206">
        <f>U18/'Revenue, EBITDA, capex breakout'!U13</f>
        <v>0.25846175177887465</v>
      </c>
      <c r="V58" s="206">
        <f>V18/'Revenue, EBITDA, capex breakout'!V13</f>
        <v>0.24462643724189223</v>
      </c>
      <c r="W58" s="206">
        <f>W18/'Revenue, EBITDA, capex breakout'!W13</f>
        <v>0.21519054132017124</v>
      </c>
      <c r="X58" s="206">
        <f>X18/'Revenue, EBITDA, capex breakout'!X13</f>
        <v>0.22951386721867767</v>
      </c>
      <c r="Y58" s="206">
        <f>Y18/'Revenue, EBITDA, capex breakout'!Y13</f>
        <v>0.23008415811449504</v>
      </c>
      <c r="Z58" s="206">
        <f>Z18/'Revenue, EBITDA, capex breakout'!Z13</f>
        <v>0.22100280320323704</v>
      </c>
      <c r="AA58" s="206">
        <f>AA18/'Revenue, EBITDA, capex breakout'!AA13</f>
        <v>0.23892289536159875</v>
      </c>
      <c r="AB58" s="206">
        <f>AB18/'Revenue, EBITDA, capex breakout'!AB13</f>
        <v>0.25244550338633065</v>
      </c>
      <c r="AC58" s="207">
        <f>AC18/'Revenue, EBITDA, capex breakout'!AC13</f>
        <v>0.24097589150709117</v>
      </c>
      <c r="AD58" s="207">
        <f>AD18/'Revenue, EBITDA, capex breakout'!AD13</f>
        <v>0.25270341111236716</v>
      </c>
      <c r="AE58" s="207">
        <f>AE18/'Revenue, EBITDA, capex breakout'!AE13</f>
        <v>0.26665470312040285</v>
      </c>
      <c r="AF58" s="208">
        <f>AF18/'Revenue, EBITDA, capex breakout'!AF13</f>
        <v>0.27756044142386083</v>
      </c>
      <c r="AG58" s="208">
        <f>AG18/'Revenue, EBITDA, capex breakout'!AG13</f>
        <v>0.26751864804444858</v>
      </c>
      <c r="AH58" s="208">
        <f>AH18/'Revenue, EBITDA, capex breakout'!AH13</f>
        <v>0.26730329421721655</v>
      </c>
      <c r="AI58" s="208">
        <f>AI18/'Revenue, EBITDA, capex breakout'!AI13</f>
        <v>0.27994964815226703</v>
      </c>
      <c r="AJ58" s="208">
        <f>AJ18/'Revenue, EBITDA, capex breakout'!AJ13</f>
        <v>0.28565228380972152</v>
      </c>
      <c r="AK58" s="208">
        <f>AK18/'Revenue, EBITDA, capex breakout'!AK13</f>
        <v>0.28189442849985014</v>
      </c>
      <c r="AL58" s="208">
        <f>AL18/'Revenue, EBITDA, capex breakout'!AL13</f>
        <v>0.27699423072226198</v>
      </c>
      <c r="AM58" s="208">
        <f>AM18/'Revenue, EBITDA, capex breakout'!AM13</f>
        <v>0.28595055811414416</v>
      </c>
      <c r="AN58" s="208">
        <f>AN18/'Revenue, EBITDA, capex breakout'!AN13</f>
        <v>0.28826501796648291</v>
      </c>
      <c r="AO58" s="208">
        <f>AO18/'Revenue, EBITDA, capex breakout'!AO13</f>
        <v>0.29524451440446176</v>
      </c>
      <c r="AP58" s="208">
        <f>AP18/'Revenue, EBITDA, capex breakout'!AP13</f>
        <v>0.30451467931513465</v>
      </c>
      <c r="AQ58" s="208">
        <f>AQ18/'Revenue, EBITDA, capex breakout'!AQ13</f>
        <v>0.30330602395021594</v>
      </c>
      <c r="AR58" s="208">
        <f>AR18/'Revenue, EBITDA, capex breakout'!AR13</f>
        <v>0.30486563586079435</v>
      </c>
      <c r="AS58" s="208">
        <f>AS18/'Revenue, EBITDA, capex breakout'!AS13</f>
        <v>0.29165239553289984</v>
      </c>
      <c r="AT58" s="208">
        <f>AT18/'Revenue, EBITDA, capex breakout'!AT13</f>
        <v>0.29575350553463536</v>
      </c>
      <c r="AU58" s="208">
        <f>AU18/'Revenue, EBITDA, capex breakout'!AU13</f>
        <v>0.30252387840343731</v>
      </c>
      <c r="AV58" s="208">
        <f>AV18/'Revenue, EBITDA, capex breakout'!AV13</f>
        <v>0.30967368205540907</v>
      </c>
      <c r="AW58" s="208">
        <f>AW18/'Revenue, EBITDA, capex breakout'!AW13</f>
        <v>0.30635338750286067</v>
      </c>
      <c r="AX58" s="208">
        <f>AX18/'Revenue, EBITDA, capex breakout'!AX13</f>
        <v>0.30226623900413185</v>
      </c>
      <c r="AY58" s="208">
        <f>AY18/'Revenue, EBITDA, capex breakout'!AY13</f>
        <v>0.27742197009490954</v>
      </c>
      <c r="AZ58" s="208">
        <f>AZ18/'Revenue, EBITDA, capex breakout'!AZ13</f>
        <v>0.2716984411111017</v>
      </c>
      <c r="BA58" s="208">
        <f>BA18/'Revenue, EBITDA, capex breakout'!BA13</f>
        <v>0.24716682560977518</v>
      </c>
      <c r="BB58" s="208">
        <f>BB18/'Revenue, EBITDA, capex breakout'!BB13</f>
        <v>0.25026839352893093</v>
      </c>
      <c r="BC58" s="208">
        <f>BC18/'Revenue, EBITDA, capex breakout'!BC13</f>
        <v>0.24505201458085296</v>
      </c>
      <c r="BD58" s="2"/>
      <c r="BE58" s="2"/>
    </row>
    <row r="59" spans="1:57" ht="15.7" thickBot="1">
      <c r="A59" s="2"/>
      <c r="B59" s="206"/>
      <c r="C59" s="206"/>
      <c r="D59" s="206"/>
      <c r="E59" s="206"/>
      <c r="F59" s="206"/>
      <c r="G59" s="206"/>
      <c r="H59" s="206"/>
      <c r="I59" s="206"/>
      <c r="J59" s="206"/>
      <c r="K59" s="206"/>
      <c r="L59" s="206"/>
      <c r="M59" s="206"/>
      <c r="N59" s="206"/>
      <c r="O59" s="206"/>
      <c r="P59" s="206"/>
      <c r="Q59" s="206"/>
      <c r="R59" s="206"/>
      <c r="S59" s="206"/>
      <c r="T59" s="206"/>
      <c r="U59" s="206"/>
      <c r="V59" s="206"/>
      <c r="W59" s="206"/>
      <c r="X59" s="206"/>
      <c r="Y59" s="206"/>
      <c r="Z59" s="206"/>
      <c r="AA59" s="206"/>
      <c r="AB59" s="206"/>
      <c r="AC59" s="207"/>
      <c r="AD59" s="207"/>
      <c r="AE59" s="207"/>
      <c r="AF59" s="208"/>
      <c r="AG59" s="208"/>
      <c r="AH59" s="208"/>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
      <c r="BE59" s="2"/>
    </row>
    <row r="60" spans="1:57" ht="15.7" thickBot="1">
      <c r="A60" s="3" t="s">
        <v>86</v>
      </c>
      <c r="B60" s="206"/>
      <c r="C60" s="206"/>
      <c r="D60" s="206"/>
      <c r="E60" s="206"/>
      <c r="F60" s="206">
        <f t="shared" ref="F60:AC60" si="211">F20/B20-1</f>
        <v>0.35046652479947604</v>
      </c>
      <c r="G60" s="206">
        <f t="shared" si="211"/>
        <v>0.33079318256309409</v>
      </c>
      <c r="H60" s="206">
        <f t="shared" si="211"/>
        <v>0.1472674176053399</v>
      </c>
      <c r="I60" s="206">
        <f t="shared" si="211"/>
        <v>3.5446282301960563E-2</v>
      </c>
      <c r="J60" s="206">
        <f t="shared" si="211"/>
        <v>7.0634019797980008E-2</v>
      </c>
      <c r="K60" s="206">
        <f t="shared" si="211"/>
        <v>0.17015318674958468</v>
      </c>
      <c r="L60" s="206">
        <f t="shared" si="211"/>
        <v>0.13044708048484943</v>
      </c>
      <c r="M60" s="206">
        <f t="shared" si="211"/>
        <v>0.13874909875597985</v>
      </c>
      <c r="N60" s="206">
        <f t="shared" si="211"/>
        <v>6.6589965735494916E-2</v>
      </c>
      <c r="O60" s="206">
        <f t="shared" si="211"/>
        <v>-0.14180584762426496</v>
      </c>
      <c r="P60" s="206">
        <f t="shared" si="211"/>
        <v>-0.19832469229588745</v>
      </c>
      <c r="Q60" s="206">
        <f t="shared" si="211"/>
        <v>-0.27722920519075511</v>
      </c>
      <c r="R60" s="206">
        <f t="shared" si="211"/>
        <v>-0.25262911664664334</v>
      </c>
      <c r="S60" s="206">
        <f t="shared" si="211"/>
        <v>-0.22161740149206233</v>
      </c>
      <c r="T60" s="206">
        <f t="shared" si="211"/>
        <v>-0.111448163261053</v>
      </c>
      <c r="U60" s="206">
        <f t="shared" si="211"/>
        <v>0.10323430059272876</v>
      </c>
      <c r="V60" s="206">
        <f t="shared" si="211"/>
        <v>0.10451854346982814</v>
      </c>
      <c r="W60" s="206">
        <f t="shared" si="211"/>
        <v>-3.527780512399481E-2</v>
      </c>
      <c r="X60" s="211">
        <f t="shared" si="211"/>
        <v>-2.5678824396202726E-2</v>
      </c>
      <c r="Y60" s="212">
        <f t="shared" si="211"/>
        <v>-8.2056357177138994E-2</v>
      </c>
      <c r="Z60" s="212">
        <f t="shared" si="211"/>
        <v>-2.7300133033341223E-2</v>
      </c>
      <c r="AA60" s="212">
        <f t="shared" si="211"/>
        <v>0.37288644632560319</v>
      </c>
      <c r="AB60" s="212">
        <f t="shared" si="211"/>
        <v>0.40496474891386813</v>
      </c>
      <c r="AC60" s="212">
        <f t="shared" si="211"/>
        <v>0.36707942593386123</v>
      </c>
      <c r="AD60" s="212">
        <f t="shared" ref="AD60:AM60" si="212">AD20/Z20-1</f>
        <v>0.41162937885742923</v>
      </c>
      <c r="AE60" s="212">
        <f t="shared" si="212"/>
        <v>0.24504906859604669</v>
      </c>
      <c r="AF60" s="213">
        <f t="shared" si="212"/>
        <v>0.2023430974279905</v>
      </c>
      <c r="AG60" s="213">
        <f t="shared" si="212"/>
        <v>0.20977949620360503</v>
      </c>
      <c r="AH60" s="213">
        <f t="shared" si="212"/>
        <v>0.2593578847428859</v>
      </c>
      <c r="AI60" s="213">
        <f t="shared" si="212"/>
        <v>0.24590055633429508</v>
      </c>
      <c r="AJ60" s="213">
        <f t="shared" si="212"/>
        <v>0.29553216786726466</v>
      </c>
      <c r="AK60" s="213">
        <f t="shared" si="212"/>
        <v>0.32543492533079488</v>
      </c>
      <c r="AL60" s="213">
        <f t="shared" si="212"/>
        <v>0.17430583992161619</v>
      </c>
      <c r="AM60" s="213">
        <f t="shared" si="212"/>
        <v>0.24425290991342563</v>
      </c>
      <c r="AN60" s="213">
        <f t="shared" ref="AN60:AS60" si="213">AN20/AJ20-1</f>
        <v>0.26547944530931278</v>
      </c>
      <c r="AO60" s="213">
        <f t="shared" si="213"/>
        <v>0.26569805114300116</v>
      </c>
      <c r="AP60" s="213">
        <f t="shared" si="213"/>
        <v>0.38161855478181672</v>
      </c>
      <c r="AQ60" s="213">
        <f t="shared" si="213"/>
        <v>0.28628375117269522</v>
      </c>
      <c r="AR60" s="213">
        <f t="shared" si="213"/>
        <v>0.26044447047108221</v>
      </c>
      <c r="AS60" s="213">
        <f t="shared" si="213"/>
        <v>0.2652416975970886</v>
      </c>
      <c r="AT60" s="213">
        <f t="shared" ref="AT60:BC60" si="214">AT20/AP20-1</f>
        <v>0.20646565708946696</v>
      </c>
      <c r="AU60" s="213">
        <f t="shared" si="214"/>
        <v>0.22778528891507732</v>
      </c>
      <c r="AV60" s="213">
        <f t="shared" si="214"/>
        <v>0.20531412795372117</v>
      </c>
      <c r="AW60" s="213">
        <f t="shared" si="214"/>
        <v>0.18129242397659029</v>
      </c>
      <c r="AX60" s="213">
        <f t="shared" si="214"/>
        <v>0.18255076339727339</v>
      </c>
      <c r="AY60" s="213">
        <f t="shared" si="214"/>
        <v>-1.8352733976253477E-3</v>
      </c>
      <c r="AZ60" s="213">
        <f t="shared" si="214"/>
        <v>-7.1185739113527768E-2</v>
      </c>
      <c r="BA60" s="213">
        <f t="shared" si="214"/>
        <v>-0.20197730606652486</v>
      </c>
      <c r="BB60" s="213">
        <f t="shared" si="214"/>
        <v>-0.22156189734502096</v>
      </c>
      <c r="BC60" s="213">
        <f t="shared" si="214"/>
        <v>-7.6219146512519154E-2</v>
      </c>
      <c r="BD60" s="2"/>
      <c r="BE60" s="2"/>
    </row>
    <row r="61" spans="1:57">
      <c r="A61" s="2"/>
      <c r="B61" s="206"/>
      <c r="C61" s="206"/>
      <c r="D61" s="206"/>
      <c r="E61" s="206"/>
      <c r="F61" s="206"/>
      <c r="G61" s="206"/>
      <c r="H61" s="206"/>
      <c r="I61" s="206"/>
      <c r="J61" s="206"/>
      <c r="K61" s="206"/>
      <c r="L61" s="206"/>
      <c r="M61" s="206"/>
      <c r="N61" s="206"/>
      <c r="O61" s="206"/>
      <c r="P61" s="206"/>
      <c r="Q61" s="206"/>
      <c r="R61" s="206"/>
      <c r="S61" s="206"/>
      <c r="T61" s="206"/>
      <c r="U61" s="206"/>
      <c r="V61" s="206"/>
      <c r="W61" s="206"/>
      <c r="X61" s="206"/>
      <c r="Y61" s="206"/>
      <c r="Z61" s="206"/>
      <c r="AA61" s="206"/>
      <c r="AB61" s="206"/>
      <c r="AC61" s="207"/>
      <c r="AD61" s="207"/>
      <c r="AE61" s="207"/>
      <c r="AF61" s="208"/>
      <c r="AG61" s="208"/>
      <c r="AH61" s="208"/>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
      <c r="BE61" s="2"/>
    </row>
    <row r="62" spans="1:57">
      <c r="A62" s="3" t="s">
        <v>89</v>
      </c>
      <c r="B62" s="206">
        <f t="shared" ref="B62:Y62" si="215">B20/B18</f>
        <v>0.2512768130745659</v>
      </c>
      <c r="C62" s="206">
        <f t="shared" si="215"/>
        <v>0.26213592233009708</v>
      </c>
      <c r="D62" s="206">
        <f t="shared" si="215"/>
        <v>0.26679280983916748</v>
      </c>
      <c r="E62" s="206">
        <f t="shared" si="215"/>
        <v>0.27824463118580767</v>
      </c>
      <c r="F62" s="206">
        <f t="shared" si="215"/>
        <v>0.25797373358348968</v>
      </c>
      <c r="G62" s="206">
        <f t="shared" si="215"/>
        <v>0.27164995442114859</v>
      </c>
      <c r="H62" s="206">
        <f t="shared" si="215"/>
        <v>0.26478375992939102</v>
      </c>
      <c r="I62" s="206">
        <f t="shared" si="215"/>
        <v>0.2544642857142857</v>
      </c>
      <c r="J62" s="206">
        <f t="shared" si="215"/>
        <v>0.26806831107206541</v>
      </c>
      <c r="K62" s="206">
        <f t="shared" si="215"/>
        <v>0.27049596932733838</v>
      </c>
      <c r="L62" s="206">
        <f t="shared" si="215"/>
        <v>0.2579928798804077</v>
      </c>
      <c r="M62" s="206">
        <f t="shared" si="215"/>
        <v>0.25274827955456636</v>
      </c>
      <c r="N62" s="206">
        <f t="shared" si="215"/>
        <v>0.24334556050704739</v>
      </c>
      <c r="O62" s="206">
        <f t="shared" si="215"/>
        <v>0.23651939386252774</v>
      </c>
      <c r="P62" s="206">
        <f t="shared" si="215"/>
        <v>0.21901146551968617</v>
      </c>
      <c r="Q62" s="206">
        <f t="shared" si="215"/>
        <v>0.20757612855451174</v>
      </c>
      <c r="R62" s="206">
        <f t="shared" si="215"/>
        <v>0.20575906904971647</v>
      </c>
      <c r="S62" s="206">
        <f t="shared" si="215"/>
        <v>0.20240396631362975</v>
      </c>
      <c r="T62" s="206">
        <f t="shared" si="215"/>
        <v>0.21256732936898584</v>
      </c>
      <c r="U62" s="206">
        <f t="shared" si="215"/>
        <v>0.22063278281821552</v>
      </c>
      <c r="V62" s="206">
        <f t="shared" si="215"/>
        <v>0.22399554144043535</v>
      </c>
      <c r="W62" s="206">
        <f t="shared" si="215"/>
        <v>0.23087127270880112</v>
      </c>
      <c r="X62" s="206">
        <f t="shared" si="215"/>
        <v>0.24170622453670659</v>
      </c>
      <c r="Y62" s="206">
        <f t="shared" si="215"/>
        <v>0.25888299807636117</v>
      </c>
      <c r="Z62" s="206">
        <f t="shared" ref="Z62:AA62" si="216">Z20/Z18</f>
        <v>0.28058244010065453</v>
      </c>
      <c r="AA62" s="206">
        <f t="shared" si="216"/>
        <v>0.32315971554872192</v>
      </c>
      <c r="AB62" s="206">
        <f t="shared" ref="AB62:AC62" si="217">AB20/AB18</f>
        <v>0.35458601760588571</v>
      </c>
      <c r="AC62" s="207">
        <f t="shared" si="217"/>
        <v>0.37750672713413186</v>
      </c>
      <c r="AD62" s="207">
        <f t="shared" ref="AD62:AE62" si="218">AD20/AD18</f>
        <v>0.38416250097434762</v>
      </c>
      <c r="AE62" s="207">
        <f t="shared" si="218"/>
        <v>0.38965727343399631</v>
      </c>
      <c r="AF62" s="208">
        <f t="shared" ref="AF62:AG62" si="219">AF20/AF18</f>
        <v>0.38943445633574336</v>
      </c>
      <c r="AG62" s="208">
        <f t="shared" si="219"/>
        <v>0.39205976299812501</v>
      </c>
      <c r="AH62" s="208">
        <f t="shared" ref="AH62:AI62" si="220">AH20/AH18</f>
        <v>0.43667044192231097</v>
      </c>
      <c r="AI62" s="208">
        <f t="shared" si="220"/>
        <v>0.44089456869009586</v>
      </c>
      <c r="AJ62" s="208">
        <f t="shared" ref="AJ62:AK62" si="221">AJ20/AJ18</f>
        <v>0.45190255671087265</v>
      </c>
      <c r="AK62" s="208">
        <f t="shared" si="221"/>
        <v>0.44137838147561453</v>
      </c>
      <c r="AL62" s="208">
        <f t="shared" ref="AL62:AM62" si="222">AL20/AL18</f>
        <v>0.44061400481335145</v>
      </c>
      <c r="AM62" s="208">
        <f t="shared" si="222"/>
        <v>0.45286693040595249</v>
      </c>
      <c r="AN62" s="208">
        <f t="shared" ref="AN62:AO62" si="223">AN20/AN18</f>
        <v>0.46901345715543175</v>
      </c>
      <c r="AO62" s="208">
        <f t="shared" si="223"/>
        <v>0.47686442432470733</v>
      </c>
      <c r="AP62" s="208">
        <f t="shared" ref="AP62:AQ62" si="224">AP20/AP18</f>
        <v>0.48026563465246708</v>
      </c>
      <c r="AQ62" s="208">
        <f t="shared" si="224"/>
        <v>0.48586310321679771</v>
      </c>
      <c r="AR62" s="208">
        <f t="shared" ref="AR62:AS62" si="225">AR20/AR18</f>
        <v>0.49629990827913428</v>
      </c>
      <c r="AS62" s="208">
        <f t="shared" si="225"/>
        <v>0.49923119253280041</v>
      </c>
      <c r="AT62" s="208">
        <f t="shared" ref="AT62:AU62" si="226">AT20/AT18</f>
        <v>0.48836280179943709</v>
      </c>
      <c r="AU62" s="208">
        <f t="shared" si="226"/>
        <v>0.49067369493242841</v>
      </c>
      <c r="AV62" s="208">
        <f t="shared" ref="AV62:AW62" si="227">AV20/AV18</f>
        <v>0.49124484180344558</v>
      </c>
      <c r="AW62" s="208">
        <f t="shared" si="227"/>
        <v>0.49114035696558406</v>
      </c>
      <c r="AX62" s="208">
        <f t="shared" ref="AX62:AY62" si="228">AX20/AX18</f>
        <v>0.49510981370982499</v>
      </c>
      <c r="AY62" s="208">
        <f t="shared" si="228"/>
        <v>0.49779966603096665</v>
      </c>
      <c r="AZ62" s="208">
        <f t="shared" ref="AZ62:BA62" si="229">AZ20/AZ18</f>
        <v>0.49130020946084391</v>
      </c>
      <c r="BA62" s="208">
        <f t="shared" si="229"/>
        <v>0.46525064271293493</v>
      </c>
      <c r="BB62" s="208">
        <f t="shared" ref="BB62:BC62" si="230">BB20/BB18</f>
        <v>0.45259752911436002</v>
      </c>
      <c r="BC62" s="208">
        <f t="shared" si="230"/>
        <v>0.46500012482004588</v>
      </c>
      <c r="BD62" s="2"/>
      <c r="BE62" s="2"/>
    </row>
    <row r="63" spans="1:57">
      <c r="A63" s="2"/>
      <c r="B63" s="206"/>
      <c r="C63" s="206"/>
      <c r="D63" s="206"/>
      <c r="E63" s="206"/>
      <c r="F63" s="206"/>
      <c r="G63" s="206"/>
      <c r="H63" s="206"/>
      <c r="I63" s="206"/>
      <c r="J63" s="206"/>
      <c r="K63" s="206"/>
      <c r="L63" s="206"/>
      <c r="M63" s="206"/>
      <c r="N63" s="206"/>
      <c r="O63" s="206"/>
      <c r="P63" s="206"/>
      <c r="Q63" s="206"/>
      <c r="R63" s="206"/>
      <c r="S63" s="206"/>
      <c r="T63" s="206"/>
      <c r="U63" s="206"/>
      <c r="V63" s="206"/>
      <c r="W63" s="206"/>
      <c r="X63" s="206"/>
      <c r="Y63" s="206"/>
      <c r="Z63" s="206"/>
      <c r="AA63" s="206"/>
      <c r="AB63" s="206"/>
      <c r="AC63" s="207"/>
      <c r="AD63" s="207"/>
      <c r="AE63" s="207"/>
      <c r="AF63" s="208"/>
      <c r="AG63" s="208"/>
      <c r="AH63" s="208"/>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
      <c r="BE63" s="2"/>
    </row>
    <row r="64" spans="1:57">
      <c r="A64" s="3" t="s">
        <v>88</v>
      </c>
      <c r="B64" s="206"/>
      <c r="C64" s="206"/>
      <c r="D64" s="206"/>
      <c r="E64" s="206"/>
      <c r="F64" s="206">
        <f t="shared" ref="F64:O64" si="231">F62-B62</f>
        <v>6.6969205089237871E-3</v>
      </c>
      <c r="G64" s="206">
        <f t="shared" si="231"/>
        <v>9.5140320910515053E-3</v>
      </c>
      <c r="H64" s="206">
        <f t="shared" si="231"/>
        <v>-2.0090499097764614E-3</v>
      </c>
      <c r="I64" s="206">
        <f t="shared" si="231"/>
        <v>-2.3780345471521969E-2</v>
      </c>
      <c r="J64" s="206">
        <f t="shared" si="231"/>
        <v>1.0094577488575729E-2</v>
      </c>
      <c r="K64" s="206">
        <f t="shared" si="231"/>
        <v>-1.1539850938102059E-3</v>
      </c>
      <c r="L64" s="206">
        <f t="shared" si="231"/>
        <v>-6.7908800489833165E-3</v>
      </c>
      <c r="M64" s="206">
        <f t="shared" si="231"/>
        <v>-1.716006159719341E-3</v>
      </c>
      <c r="N64" s="206">
        <f t="shared" si="231"/>
        <v>-2.472275056501802E-2</v>
      </c>
      <c r="O64" s="206">
        <f t="shared" si="231"/>
        <v>-3.3976575464810643E-2</v>
      </c>
      <c r="P64" s="206">
        <f t="shared" ref="P64:X64" si="232">P62-L62</f>
        <v>-3.8981414360721528E-2</v>
      </c>
      <c r="Q64" s="206">
        <f t="shared" si="232"/>
        <v>-4.5172151000054617E-2</v>
      </c>
      <c r="R64" s="206">
        <f t="shared" si="232"/>
        <v>-3.7586491457330923E-2</v>
      </c>
      <c r="S64" s="206">
        <f t="shared" si="232"/>
        <v>-3.4115427548897986E-2</v>
      </c>
      <c r="T64" s="206">
        <f t="shared" si="232"/>
        <v>-6.4441361507003303E-3</v>
      </c>
      <c r="U64" s="206">
        <f t="shared" si="232"/>
        <v>1.3056654263703782E-2</v>
      </c>
      <c r="V64" s="206">
        <f t="shared" si="232"/>
        <v>1.8236472390718877E-2</v>
      </c>
      <c r="W64" s="206">
        <f t="shared" si="232"/>
        <v>2.8467306395171366E-2</v>
      </c>
      <c r="X64" s="206">
        <f t="shared" si="232"/>
        <v>2.9138895167720752E-2</v>
      </c>
      <c r="Y64" s="206">
        <f t="shared" ref="Y64:AC64" si="233">Y62-U62</f>
        <v>3.8250215258145648E-2</v>
      </c>
      <c r="Z64" s="206">
        <f t="shared" si="233"/>
        <v>5.6586898660219181E-2</v>
      </c>
      <c r="AA64" s="206">
        <f t="shared" si="233"/>
        <v>9.2288442839920798E-2</v>
      </c>
      <c r="AB64" s="206">
        <f t="shared" si="233"/>
        <v>0.11287979306917911</v>
      </c>
      <c r="AC64" s="207">
        <f t="shared" si="233"/>
        <v>0.11862372905777069</v>
      </c>
      <c r="AD64" s="207">
        <f t="shared" ref="AD64:AM64" si="234">AD62-Z62</f>
        <v>0.10358006087369309</v>
      </c>
      <c r="AE64" s="207">
        <f t="shared" si="234"/>
        <v>6.6497557885274394E-2</v>
      </c>
      <c r="AF64" s="208">
        <f t="shared" si="234"/>
        <v>3.4848438729857656E-2</v>
      </c>
      <c r="AG64" s="208">
        <f t="shared" si="234"/>
        <v>1.4553035863993147E-2</v>
      </c>
      <c r="AH64" s="208">
        <f t="shared" si="234"/>
        <v>5.250794094796335E-2</v>
      </c>
      <c r="AI64" s="208">
        <f t="shared" si="234"/>
        <v>5.1237295256099546E-2</v>
      </c>
      <c r="AJ64" s="208">
        <f t="shared" si="234"/>
        <v>6.2468100375129287E-2</v>
      </c>
      <c r="AK64" s="208">
        <f t="shared" si="234"/>
        <v>4.9318618477489529E-2</v>
      </c>
      <c r="AL64" s="208">
        <f t="shared" si="234"/>
        <v>3.9435628910404752E-3</v>
      </c>
      <c r="AM64" s="208">
        <f t="shared" si="234"/>
        <v>1.1972361715856639E-2</v>
      </c>
      <c r="AN64" s="208">
        <f t="shared" ref="AN64:AS64" si="235">AN62-AJ62</f>
        <v>1.7110900444559096E-2</v>
      </c>
      <c r="AO64" s="208">
        <f t="shared" si="235"/>
        <v>3.5486042849092791E-2</v>
      </c>
      <c r="AP64" s="208">
        <f t="shared" si="235"/>
        <v>3.9651629839115632E-2</v>
      </c>
      <c r="AQ64" s="208">
        <f t="shared" si="235"/>
        <v>3.2996172810845215E-2</v>
      </c>
      <c r="AR64" s="208">
        <f t="shared" si="235"/>
        <v>2.7286451123702538E-2</v>
      </c>
      <c r="AS64" s="208">
        <f t="shared" si="235"/>
        <v>2.236676820809308E-2</v>
      </c>
      <c r="AT64" s="208">
        <f t="shared" ref="AT64:BC64" si="236">AT62-AP62</f>
        <v>8.0971671469700079E-3</v>
      </c>
      <c r="AU64" s="208">
        <f t="shared" si="236"/>
        <v>4.8105917156306965E-3</v>
      </c>
      <c r="AV64" s="208">
        <f t="shared" si="236"/>
        <v>-5.0550664756887076E-3</v>
      </c>
      <c r="AW64" s="208">
        <f t="shared" si="236"/>
        <v>-8.0908355672163479E-3</v>
      </c>
      <c r="AX64" s="208">
        <f t="shared" si="236"/>
        <v>6.7470119103879012E-3</v>
      </c>
      <c r="AY64" s="208">
        <f t="shared" si="236"/>
        <v>7.1259710985382418E-3</v>
      </c>
      <c r="AZ64" s="208">
        <f t="shared" si="236"/>
        <v>5.5367657398330827E-5</v>
      </c>
      <c r="BA64" s="208">
        <f t="shared" si="236"/>
        <v>-2.5889714252649132E-2</v>
      </c>
      <c r="BB64" s="208">
        <f t="shared" si="236"/>
        <v>-4.2512284595464966E-2</v>
      </c>
      <c r="BC64" s="208">
        <f t="shared" si="236"/>
        <v>-3.2799541210920768E-2</v>
      </c>
      <c r="BD64" s="2"/>
      <c r="BE64" s="2"/>
    </row>
    <row r="65" spans="1:57">
      <c r="A65" s="2"/>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c r="AA65" s="114"/>
      <c r="AB65" s="114"/>
      <c r="AC65" s="115"/>
      <c r="AD65" s="115"/>
      <c r="AE65" s="115"/>
      <c r="AF65" s="116"/>
      <c r="AG65" s="116"/>
      <c r="AH65" s="116"/>
      <c r="AI65" s="116"/>
      <c r="AJ65" s="116"/>
      <c r="AK65" s="116"/>
      <c r="AL65" s="116"/>
      <c r="AM65" s="116"/>
      <c r="AN65" s="116"/>
      <c r="AO65" s="116"/>
      <c r="AP65" s="116"/>
      <c r="AQ65" s="116"/>
      <c r="AR65" s="116"/>
      <c r="AS65" s="116"/>
      <c r="AT65" s="116"/>
      <c r="AU65" s="116"/>
      <c r="AV65" s="116"/>
      <c r="AW65" s="116"/>
      <c r="AX65" s="116"/>
      <c r="AY65" s="116"/>
      <c r="AZ65" s="116"/>
      <c r="BA65" s="116"/>
      <c r="BB65" s="116"/>
      <c r="BC65" s="116"/>
      <c r="BD65" s="2"/>
      <c r="BE65" s="2"/>
    </row>
    <row r="66" spans="1:57" s="193" customFormat="1">
      <c r="A66" s="3" t="s">
        <v>94</v>
      </c>
      <c r="B66" s="206">
        <f>B20/'Revenue, EBITDA, capex breakout'!B25</f>
        <v>0.19121165750852057</v>
      </c>
      <c r="C66" s="206">
        <f>C20/'Revenue, EBITDA, capex breakout'!C25</f>
        <v>0.20986741414593041</v>
      </c>
      <c r="D66" s="206">
        <f>D20/'Revenue, EBITDA, capex breakout'!D25</f>
        <v>0.24137352309344789</v>
      </c>
      <c r="E66" s="206">
        <f>E20/'Revenue, EBITDA, capex breakout'!E25</f>
        <v>0.24287891671613535</v>
      </c>
      <c r="F66" s="206">
        <f>F20/'Revenue, EBITDA, capex breakout'!F25</f>
        <v>0.27070876476593264</v>
      </c>
      <c r="G66" s="206">
        <f>G20/'Revenue, EBITDA, capex breakout'!G25</f>
        <v>0.27356027556468865</v>
      </c>
      <c r="H66" s="206">
        <f>H20/'Revenue, EBITDA, capex breakout'!H25</f>
        <v>0.2668219085043419</v>
      </c>
      <c r="I66" s="206">
        <f>I20/'Revenue, EBITDA, capex breakout'!I25</f>
        <v>0.25108523282448864</v>
      </c>
      <c r="J66" s="206">
        <f>J20/'Revenue, EBITDA, capex breakout'!J25</f>
        <v>0.24292067402099349</v>
      </c>
      <c r="K66" s="206">
        <f>K20/'Revenue, EBITDA, capex breakout'!K25</f>
        <v>0.27816422338666008</v>
      </c>
      <c r="L66" s="206">
        <f>L20/'Revenue, EBITDA, capex breakout'!L25</f>
        <v>0.26268733385911069</v>
      </c>
      <c r="M66" s="206">
        <f>M20/'Revenue, EBITDA, capex breakout'!M25</f>
        <v>0.24389763237504417</v>
      </c>
      <c r="N66" s="206">
        <f>N20/'Revenue, EBITDA, capex breakout'!N25</f>
        <v>0.21833193953829713</v>
      </c>
      <c r="O66" s="206">
        <f>O20/'Revenue, EBITDA, capex breakout'!O25</f>
        <v>0.21046164404986206</v>
      </c>
      <c r="P66" s="206">
        <f>P20/'Revenue, EBITDA, capex breakout'!P25</f>
        <v>0.19103109424344591</v>
      </c>
      <c r="Q66" s="206">
        <f>Q20/'Revenue, EBITDA, capex breakout'!Q25</f>
        <v>0.1602556452021611</v>
      </c>
      <c r="R66" s="206">
        <f>R20/'Revenue, EBITDA, capex breakout'!R25</f>
        <v>0.153402253640292</v>
      </c>
      <c r="S66" s="206">
        <f>S20/'Revenue, EBITDA, capex breakout'!S25</f>
        <v>0.15359445378873107</v>
      </c>
      <c r="T66" s="206">
        <f>T20/'Revenue, EBITDA, capex breakout'!T25</f>
        <v>0.15677831734082204</v>
      </c>
      <c r="U66" s="206">
        <f>U20/'Revenue, EBITDA, capex breakout'!U25</f>
        <v>0.15490450711766998</v>
      </c>
      <c r="V66" s="207">
        <f>V20/'Revenue, EBITDA, capex breakout'!V25</f>
        <v>0.14594751237058576</v>
      </c>
      <c r="W66" s="207">
        <f>W20/'Revenue, EBITDA, capex breakout'!W25</f>
        <v>0.12937809424647689</v>
      </c>
      <c r="X66" s="207">
        <f>X20/'Revenue, EBITDA, capex breakout'!X25</f>
        <v>0.15104676874948922</v>
      </c>
      <c r="Y66" s="207">
        <f>Y20/'Revenue, EBITDA, capex breakout'!Y25</f>
        <v>0.16346358518197637</v>
      </c>
      <c r="Z66" s="207">
        <f>Z20/'Revenue, EBITDA, capex breakout'!Z25</f>
        <v>0.17405004782349701</v>
      </c>
      <c r="AA66" s="207">
        <f>AA20/'Revenue, EBITDA, capex breakout'!AA25</f>
        <v>0.21007783899946275</v>
      </c>
      <c r="AB66" s="207">
        <f>AB20/'Revenue, EBITDA, capex breakout'!AB25</f>
        <v>0.23972162772180383</v>
      </c>
      <c r="AC66" s="207">
        <f>AC20/'Revenue, EBITDA, capex breakout'!AC25</f>
        <v>0.25392483275232891</v>
      </c>
      <c r="AD66" s="207">
        <f>AD20/'Revenue, EBITDA, capex breakout'!AD25</f>
        <v>0.28113061139833917</v>
      </c>
      <c r="AE66" s="207">
        <f>AE20/'Revenue, EBITDA, capex breakout'!AE25</f>
        <v>0.33002151938855057</v>
      </c>
      <c r="AF66" s="208">
        <f>AF20/'Revenue, EBITDA, capex breakout'!AF25</f>
        <v>0.34673325418084933</v>
      </c>
      <c r="AG66" s="208">
        <f>AG20/'Revenue, EBITDA, capex breakout'!AG25</f>
        <v>0.31746983381856597</v>
      </c>
      <c r="AH66" s="208">
        <f>AH20/'Revenue, EBITDA, capex breakout'!AH25</f>
        <v>0.28502451360668718</v>
      </c>
      <c r="AI66" s="208">
        <f>AI20/'Revenue, EBITDA, capex breakout'!AI25</f>
        <v>0.29186576099728073</v>
      </c>
      <c r="AJ66" s="208">
        <f>AJ20/'Revenue, EBITDA, capex breakout'!AJ25</f>
        <v>0.30300062022294783</v>
      </c>
      <c r="AK66" s="208">
        <f>AK20/'Revenue, EBITDA, capex breakout'!AK25</f>
        <v>0.29341014887035438</v>
      </c>
      <c r="AL66" s="208">
        <f>AL20/'Revenue, EBITDA, capex breakout'!AL25</f>
        <v>0.28092187708168165</v>
      </c>
      <c r="AM66" s="208">
        <f>AM20/'Revenue, EBITDA, capex breakout'!AM25</f>
        <v>0.28822866801336816</v>
      </c>
      <c r="AN66" s="208">
        <f>AN20/'Revenue, EBITDA, capex breakout'!AN25</f>
        <v>0.29440746239991028</v>
      </c>
      <c r="AO66" s="208">
        <f>AO20/'Revenue, EBITDA, capex breakout'!AO25</f>
        <v>0.2880851063430791</v>
      </c>
      <c r="AP66" s="208">
        <f>AP20/'Revenue, EBITDA, capex breakout'!AP25</f>
        <v>0.29776059310595632</v>
      </c>
      <c r="AQ66" s="208">
        <f>AQ20/'Revenue, EBITDA, capex breakout'!AQ25</f>
        <v>0.29778963537724429</v>
      </c>
      <c r="AR66" s="208">
        <f>AR20/'Revenue, EBITDA, capex breakout'!AR25</f>
        <v>0.30319023897522268</v>
      </c>
      <c r="AS66" s="208">
        <f>AS20/'Revenue, EBITDA, capex breakout'!AS25</f>
        <v>0.28668528335586696</v>
      </c>
      <c r="AT66" s="208">
        <f>AT20/'Revenue, EBITDA, capex breakout'!AT25</f>
        <v>0.28535394596036939</v>
      </c>
      <c r="AU66" s="208">
        <f>AU20/'Revenue, EBITDA, capex breakout'!AU25</f>
        <v>0.28921155304319118</v>
      </c>
      <c r="AV66" s="208">
        <f>AV20/'Revenue, EBITDA, capex breakout'!AV25</f>
        <v>0.29282508227040255</v>
      </c>
      <c r="AW66" s="208">
        <f>AW20/'Revenue, EBITDA, capex breakout'!AW25</f>
        <v>0.28808906390045108</v>
      </c>
      <c r="AX66" s="208">
        <f>AX20/'Revenue, EBITDA, capex breakout'!AX25</f>
        <v>0.28375641262208218</v>
      </c>
      <c r="AY66" s="208">
        <f>AY20/'Revenue, EBITDA, capex breakout'!AY25</f>
        <v>0.26014650249846871</v>
      </c>
      <c r="AZ66" s="208">
        <f>AZ20/'Revenue, EBITDA, capex breakout'!AZ25</f>
        <v>0.25239309218367995</v>
      </c>
      <c r="BA66" s="208">
        <f>BA20/'Revenue, EBITDA, capex breakout'!BA25</f>
        <v>0.22070347492651066</v>
      </c>
      <c r="BB66" s="208">
        <f>BB20/'Revenue, EBITDA, capex breakout'!BB25</f>
        <v>0.21869279839534431</v>
      </c>
      <c r="BC66" s="208">
        <f>BC20/'Revenue, EBITDA, capex breakout'!BC25</f>
        <v>0.21460749000483867</v>
      </c>
      <c r="BD66" s="3"/>
      <c r="BE66" s="2"/>
    </row>
    <row r="67" spans="1:57" s="193" customFormat="1">
      <c r="A67" s="3" t="s">
        <v>96</v>
      </c>
      <c r="B67" s="214">
        <f t="shared" ref="B67:Y67" si="237">B20-B25</f>
        <v>-7777.7999999999993</v>
      </c>
      <c r="C67" s="214">
        <f t="shared" si="237"/>
        <v>-13786</v>
      </c>
      <c r="D67" s="214">
        <f t="shared" si="237"/>
        <v>867</v>
      </c>
      <c r="E67" s="214">
        <f t="shared" si="237"/>
        <v>2235.2000000000007</v>
      </c>
      <c r="F67" s="214">
        <f t="shared" si="237"/>
        <v>8424</v>
      </c>
      <c r="G67" s="214">
        <f t="shared" si="237"/>
        <v>4796</v>
      </c>
      <c r="H67" s="214">
        <f t="shared" si="237"/>
        <v>7700</v>
      </c>
      <c r="I67" s="214">
        <f t="shared" si="237"/>
        <v>2750</v>
      </c>
      <c r="J67" s="214">
        <f t="shared" si="237"/>
        <v>6666.5891940000038</v>
      </c>
      <c r="K67" s="214">
        <f t="shared" si="237"/>
        <v>9364.6899060000032</v>
      </c>
      <c r="L67" s="214">
        <f t="shared" si="237"/>
        <v>9971.046828000015</v>
      </c>
      <c r="M67" s="214">
        <f t="shared" si="237"/>
        <v>6981.4851229999822</v>
      </c>
      <c r="N67" s="214">
        <f t="shared" si="237"/>
        <v>7386.3333420000017</v>
      </c>
      <c r="O67" s="214">
        <f t="shared" si="237"/>
        <v>288.61188400000901</v>
      </c>
      <c r="P67" s="214">
        <f t="shared" si="237"/>
        <v>-2624.667067000024</v>
      </c>
      <c r="Q67" s="214">
        <f t="shared" si="237"/>
        <v>-9308.727283000022</v>
      </c>
      <c r="R67" s="214">
        <f t="shared" si="237"/>
        <v>3162.6029890000027</v>
      </c>
      <c r="S67" s="214">
        <f t="shared" si="237"/>
        <v>2029.8123889999915</v>
      </c>
      <c r="T67" s="214">
        <f t="shared" si="237"/>
        <v>1187.7848379999832</v>
      </c>
      <c r="U67" s="214">
        <f t="shared" si="237"/>
        <v>-4434.6454570645074</v>
      </c>
      <c r="V67" s="215">
        <f t="shared" si="237"/>
        <v>6494.7591686585683</v>
      </c>
      <c r="W67" s="215">
        <f t="shared" si="237"/>
        <v>5465.8121201298072</v>
      </c>
      <c r="X67" s="215">
        <f t="shared" si="237"/>
        <v>8579.2501878974472</v>
      </c>
      <c r="Y67" s="215">
        <f t="shared" si="237"/>
        <v>4032.5757584412149</v>
      </c>
      <c r="Z67" s="215">
        <f t="shared" ref="Z67:AA67" si="238">Z20-Z25</f>
        <v>10455.164171644705</v>
      </c>
      <c r="AA67" s="215">
        <f t="shared" si="238"/>
        <v>13683</v>
      </c>
      <c r="AB67" s="215">
        <f t="shared" ref="AB67:AC67" si="239">AB20-AB25</f>
        <v>13520.553967681693</v>
      </c>
      <c r="AC67" s="215">
        <f t="shared" si="239"/>
        <v>1561.5095348643135</v>
      </c>
      <c r="AD67" s="215">
        <f t="shared" ref="AD67:AE67" si="240">AD20-AD25</f>
        <v>15925.162963972325</v>
      </c>
      <c r="AE67" s="215">
        <f t="shared" si="240"/>
        <v>13548.255039373929</v>
      </c>
      <c r="AF67" s="216">
        <f t="shared" ref="AF67:AG67" si="241">AF20-AF25</f>
        <v>14616.774771180459</v>
      </c>
      <c r="AG67" s="216">
        <f t="shared" si="241"/>
        <v>112.47572710151508</v>
      </c>
      <c r="AH67" s="216">
        <f t="shared" ref="AH67:AI67" si="242">AH20-AH25</f>
        <v>17279.063203551472</v>
      </c>
      <c r="AI67" s="216">
        <f t="shared" si="242"/>
        <v>15756</v>
      </c>
      <c r="AJ67" s="216">
        <f t="shared" ref="AJ67:AK67" si="243">AJ20-AJ25</f>
        <v>17654.044601509988</v>
      </c>
      <c r="AK67" s="216">
        <f t="shared" si="243"/>
        <v>10731.351451533032</v>
      </c>
      <c r="AL67" s="216">
        <f t="shared" ref="AL67:AM67" si="244">AL20-AL25</f>
        <v>23421.420081814987</v>
      </c>
      <c r="AM67" s="216">
        <f t="shared" si="244"/>
        <v>21306.854396361967</v>
      </c>
      <c r="AN67" s="216">
        <f t="shared" ref="AN67:AO67" si="245">AN20-AN25</f>
        <v>22030.084300558665</v>
      </c>
      <c r="AO67" s="216">
        <f t="shared" si="245"/>
        <v>20792.704516255981</v>
      </c>
      <c r="AP67" s="216">
        <f t="shared" ref="AP67:AQ67" si="246">AP20-AP25</f>
        <v>31478.125667117005</v>
      </c>
      <c r="AQ67" s="216">
        <f t="shared" si="246"/>
        <v>31428.13633379844</v>
      </c>
      <c r="AR67" s="216">
        <f t="shared" ref="AR67:AS67" si="247">AR20-AR25</f>
        <v>31224.513465206677</v>
      </c>
      <c r="AS67" s="216">
        <f t="shared" si="247"/>
        <v>29049.221191518234</v>
      </c>
      <c r="AT67" s="216">
        <f t="shared" ref="AT67:AU67" si="248">AT20-AT25</f>
        <v>36500.944988894975</v>
      </c>
      <c r="AU67" s="216">
        <f t="shared" si="248"/>
        <v>37751.757737889995</v>
      </c>
      <c r="AV67" s="216">
        <f t="shared" ref="AV67:AW67" si="249">AV20-AV25</f>
        <v>42390.405001169864</v>
      </c>
      <c r="AW67" s="216">
        <f t="shared" si="249"/>
        <v>30237.045980566138</v>
      </c>
      <c r="AX67" s="216">
        <f t="shared" ref="AX67:AY67" si="250">AX20-AX25</f>
        <v>44528.029492768968</v>
      </c>
      <c r="AY67" s="216">
        <f t="shared" si="250"/>
        <v>36969.853916998771</v>
      </c>
      <c r="AZ67" s="216">
        <f t="shared" ref="AZ67:BA67" si="251">AZ20-AZ25</f>
        <v>35444.732745466354</v>
      </c>
      <c r="BA67" s="216">
        <f t="shared" si="251"/>
        <v>23044.736200850937</v>
      </c>
      <c r="BB67" s="216">
        <f t="shared" ref="BB67:BC67" si="252">BB20-BB25</f>
        <v>31362.601747564255</v>
      </c>
      <c r="BC67" s="216">
        <f t="shared" si="252"/>
        <v>33108.237799808849</v>
      </c>
      <c r="BD67" s="3"/>
      <c r="BE67" s="2"/>
    </row>
    <row r="68" spans="1:57">
      <c r="A68" s="2"/>
      <c r="B68" s="114"/>
      <c r="C68" s="114"/>
      <c r="D68" s="114"/>
      <c r="E68" s="114"/>
      <c r="F68" s="114"/>
      <c r="G68" s="114"/>
      <c r="H68" s="114"/>
      <c r="I68" s="114"/>
      <c r="J68" s="114"/>
      <c r="K68" s="114"/>
      <c r="L68" s="114"/>
      <c r="M68" s="114"/>
      <c r="N68" s="114"/>
      <c r="O68" s="114"/>
      <c r="P68" s="114"/>
      <c r="Q68" s="114"/>
      <c r="R68" s="114"/>
      <c r="S68" s="114"/>
      <c r="T68" s="114"/>
      <c r="U68" s="114"/>
      <c r="V68" s="115"/>
      <c r="W68" s="115"/>
      <c r="X68" s="115"/>
      <c r="Y68" s="115"/>
      <c r="Z68" s="115"/>
      <c r="AA68" s="115"/>
      <c r="AB68" s="115"/>
      <c r="AC68" s="115"/>
      <c r="AD68" s="115"/>
      <c r="AE68" s="116"/>
      <c r="AF68" s="116"/>
      <c r="AG68" s="116"/>
      <c r="AH68" s="116"/>
      <c r="AI68" s="116"/>
      <c r="AJ68" s="116"/>
      <c r="AK68" s="116"/>
      <c r="AL68" s="116"/>
      <c r="AM68" s="116"/>
      <c r="AN68" s="116"/>
      <c r="AO68" s="116"/>
      <c r="AP68" s="116"/>
      <c r="AQ68" s="116"/>
      <c r="AR68" s="116"/>
      <c r="AS68" s="116"/>
      <c r="AT68" s="116"/>
      <c r="AU68" s="116"/>
      <c r="AV68" s="116"/>
      <c r="AW68" s="116"/>
      <c r="AX68" s="116"/>
      <c r="AY68" s="116"/>
      <c r="AZ68" s="116"/>
      <c r="BA68" s="116"/>
      <c r="BB68" s="116"/>
      <c r="BC68" s="116"/>
      <c r="BD68" s="2"/>
      <c r="BE68" s="2"/>
    </row>
    <row r="69" spans="1:57" s="27" customFormat="1">
      <c r="A69" s="510" t="s">
        <v>429</v>
      </c>
      <c r="B69" s="522" t="str">
        <f>'Revenue, EBITDA, capex breakout'!B$1</f>
        <v>Q1 12</v>
      </c>
      <c r="C69" s="522" t="str">
        <f>'Revenue, EBITDA, capex breakout'!C$1</f>
        <v>Q2 12</v>
      </c>
      <c r="D69" s="522" t="str">
        <f>'Revenue, EBITDA, capex breakout'!D$1</f>
        <v>Q3 12</v>
      </c>
      <c r="E69" s="522" t="str">
        <f>'Revenue, EBITDA, capex breakout'!E$1</f>
        <v>4Q12</v>
      </c>
      <c r="F69" s="522" t="str">
        <f>'Revenue, EBITDA, capex breakout'!F$1</f>
        <v>1Q13</v>
      </c>
      <c r="G69" s="522" t="str">
        <f>'Revenue, EBITDA, capex breakout'!G$1</f>
        <v>2Q13</v>
      </c>
      <c r="H69" s="522" t="str">
        <f>'Revenue, EBITDA, capex breakout'!H$1</f>
        <v>3Q13</v>
      </c>
      <c r="I69" s="522" t="str">
        <f>'Revenue, EBITDA, capex breakout'!I$1</f>
        <v>4Q13</v>
      </c>
      <c r="J69" s="522" t="str">
        <f>'Revenue, EBITDA, capex breakout'!J$1</f>
        <v>1Q14</v>
      </c>
      <c r="K69" s="522" t="str">
        <f>'Revenue, EBITDA, capex breakout'!K$1</f>
        <v>2Q14</v>
      </c>
      <c r="L69" s="522" t="str">
        <f>'Revenue, EBITDA, capex breakout'!L$1</f>
        <v>3Q14</v>
      </c>
      <c r="M69" s="522" t="str">
        <f>'Revenue, EBITDA, capex breakout'!M$1</f>
        <v>4Q14</v>
      </c>
      <c r="N69" s="522" t="str">
        <f>'Revenue, EBITDA, capex breakout'!N$1</f>
        <v>1Q15</v>
      </c>
      <c r="O69" s="522" t="str">
        <f>'Revenue, EBITDA, capex breakout'!O$1</f>
        <v>2Q15</v>
      </c>
      <c r="P69" s="522" t="str">
        <f>'Revenue, EBITDA, capex breakout'!P$1</f>
        <v>3Q15</v>
      </c>
      <c r="Q69" s="522" t="str">
        <f>'Revenue, EBITDA, capex breakout'!Q$1</f>
        <v>4Q15</v>
      </c>
      <c r="R69" s="522" t="str">
        <f>'Revenue, EBITDA, capex breakout'!R$1</f>
        <v>1Q16</v>
      </c>
      <c r="S69" s="522" t="str">
        <f>'Revenue, EBITDA, capex breakout'!S$1</f>
        <v>2Q16</v>
      </c>
      <c r="T69" s="522" t="str">
        <f>'Revenue, EBITDA, capex breakout'!T$1</f>
        <v>3Q16</v>
      </c>
      <c r="U69" s="522" t="str">
        <f>'Revenue, EBITDA, capex breakout'!U$1</f>
        <v>4Q16</v>
      </c>
      <c r="V69" s="522" t="str">
        <f>'Revenue, EBITDA, capex breakout'!V$1</f>
        <v>1Q17</v>
      </c>
      <c r="W69" s="522" t="str">
        <f>'Revenue, EBITDA, capex breakout'!W$1</f>
        <v>2Q17</v>
      </c>
      <c r="X69" s="522" t="str">
        <f>'Revenue, EBITDA, capex breakout'!X$1</f>
        <v>3Q17</v>
      </c>
      <c r="Y69" s="522" t="str">
        <f>'Revenue, EBITDA, capex breakout'!Y$1</f>
        <v>4Q17</v>
      </c>
      <c r="Z69" s="522" t="str">
        <f>'Revenue, EBITDA, capex breakout'!Z$1</f>
        <v>1Q18</v>
      </c>
      <c r="AA69" s="522" t="str">
        <f>'Revenue, EBITDA, capex breakout'!AA$1</f>
        <v>2Q18</v>
      </c>
      <c r="AB69" s="522" t="str">
        <f>'Revenue, EBITDA, capex breakout'!AB$1</f>
        <v>3Q18</v>
      </c>
      <c r="AC69" s="522" t="str">
        <f>'Revenue, EBITDA, capex breakout'!AC$1</f>
        <v>4Q18</v>
      </c>
      <c r="AD69" s="522" t="str">
        <f t="shared" ref="AD69:AI69" si="253">AD54</f>
        <v>1Q19</v>
      </c>
      <c r="AE69" s="522" t="str">
        <f t="shared" si="253"/>
        <v>2Q19</v>
      </c>
      <c r="AF69" s="522" t="str">
        <f t="shared" si="253"/>
        <v>3Q19</v>
      </c>
      <c r="AG69" s="522" t="str">
        <f t="shared" si="253"/>
        <v>4Q19</v>
      </c>
      <c r="AH69" s="522" t="str">
        <f t="shared" si="253"/>
        <v>1Q20</v>
      </c>
      <c r="AI69" s="522" t="str">
        <f t="shared" si="253"/>
        <v>2Q20</v>
      </c>
      <c r="AJ69" s="522" t="str">
        <f t="shared" ref="AJ69:AK69" si="254">AJ54</f>
        <v>3Q20</v>
      </c>
      <c r="AK69" s="522" t="str">
        <f t="shared" si="254"/>
        <v>4Q20</v>
      </c>
      <c r="AL69" s="522" t="str">
        <f t="shared" ref="AL69:AM69" si="255">AL54</f>
        <v>1Q21</v>
      </c>
      <c r="AM69" s="522" t="str">
        <f t="shared" si="255"/>
        <v>2Q21</v>
      </c>
      <c r="AN69" s="522" t="str">
        <f t="shared" ref="AN69:AO69" si="256">AN54</f>
        <v>3Q21</v>
      </c>
      <c r="AO69" s="522" t="str">
        <f t="shared" si="256"/>
        <v>4Q21</v>
      </c>
      <c r="AP69" s="522" t="str">
        <f t="shared" ref="AP69:AQ69" si="257">AP54</f>
        <v>1Q22</v>
      </c>
      <c r="AQ69" s="522" t="str">
        <f t="shared" si="257"/>
        <v>2Q22</v>
      </c>
      <c r="AR69" s="522" t="str">
        <f t="shared" ref="AR69:AS69" si="258">AR54</f>
        <v>3Q22</v>
      </c>
      <c r="AS69" s="522" t="str">
        <f t="shared" si="258"/>
        <v>4Q22</v>
      </c>
      <c r="AT69" s="522" t="str">
        <f t="shared" ref="AT69:AU69" si="259">AT54</f>
        <v>1Q23</v>
      </c>
      <c r="AU69" s="522" t="str">
        <f t="shared" si="259"/>
        <v>2Q23</v>
      </c>
      <c r="AV69" s="522" t="str">
        <f t="shared" ref="AV69:AW69" si="260">AV54</f>
        <v>3Q23</v>
      </c>
      <c r="AW69" s="522" t="str">
        <f t="shared" si="260"/>
        <v>4Q23</v>
      </c>
      <c r="AX69" s="522" t="str">
        <f t="shared" ref="AX69:AY69" si="261">AX54</f>
        <v>1Q24</v>
      </c>
      <c r="AY69" s="522" t="str">
        <f t="shared" si="261"/>
        <v>2Q24</v>
      </c>
      <c r="AZ69" s="522" t="str">
        <f t="shared" ref="AZ69:BA69" si="262">AZ54</f>
        <v>3Q24</v>
      </c>
      <c r="BA69" s="522" t="str">
        <f t="shared" si="262"/>
        <v>4Q24</v>
      </c>
      <c r="BB69" s="522" t="str">
        <f t="shared" ref="BB69:BC69" si="263">BB54</f>
        <v>1Q25</v>
      </c>
      <c r="BC69" s="522" t="str">
        <f t="shared" si="263"/>
        <v>2Q25</v>
      </c>
      <c r="BD69" s="510"/>
      <c r="BE69" s="510"/>
    </row>
    <row r="70" spans="1:57">
      <c r="A70" s="2"/>
      <c r="B70" s="114"/>
      <c r="C70" s="114"/>
      <c r="D70" s="114"/>
      <c r="E70" s="114"/>
      <c r="F70" s="114"/>
      <c r="G70" s="114"/>
      <c r="H70" s="114"/>
      <c r="I70" s="114"/>
      <c r="J70" s="114"/>
      <c r="K70" s="114"/>
      <c r="L70" s="114"/>
      <c r="M70" s="114"/>
      <c r="N70" s="114"/>
      <c r="O70" s="114"/>
      <c r="P70" s="114"/>
      <c r="Q70" s="114"/>
      <c r="R70" s="114"/>
      <c r="S70" s="114"/>
      <c r="T70" s="114"/>
      <c r="U70" s="114"/>
      <c r="V70" s="115"/>
      <c r="W70" s="115"/>
      <c r="X70" s="115"/>
      <c r="Y70" s="115"/>
      <c r="Z70" s="115"/>
      <c r="AA70" s="115"/>
      <c r="AB70" s="115"/>
      <c r="AC70" s="115"/>
      <c r="AD70" s="115"/>
      <c r="AE70" s="116"/>
      <c r="AF70" s="116"/>
      <c r="AG70" s="116"/>
      <c r="AH70" s="116"/>
      <c r="AI70" s="116"/>
      <c r="AJ70" s="116"/>
      <c r="AK70" s="116"/>
      <c r="AL70" s="116"/>
      <c r="AM70" s="116"/>
      <c r="AN70" s="116"/>
      <c r="AO70" s="116"/>
      <c r="AP70" s="116"/>
      <c r="AQ70" s="116"/>
      <c r="AR70" s="116"/>
      <c r="AS70" s="116"/>
      <c r="AT70" s="116"/>
      <c r="AU70" s="116"/>
      <c r="AV70" s="116"/>
      <c r="AW70" s="116"/>
      <c r="AX70" s="116"/>
      <c r="AY70" s="116"/>
      <c r="AZ70" s="116"/>
      <c r="BA70" s="116"/>
      <c r="BB70" s="116"/>
      <c r="BC70" s="116"/>
      <c r="BD70" s="2"/>
      <c r="BE70" s="2"/>
    </row>
    <row r="71" spans="1:57">
      <c r="A71" s="2" t="s">
        <v>91</v>
      </c>
      <c r="B71" s="206">
        <f>(B5+B18)/'Revenue, EBITDA, capex breakout'!B13</f>
        <v>0.25780004595019707</v>
      </c>
      <c r="C71" s="206">
        <f>(C5+C18)/'Revenue, EBITDA, capex breakout'!C13</f>
        <v>0.26958042362968881</v>
      </c>
      <c r="D71" s="206">
        <f>(D5+D18)/'Revenue, EBITDA, capex breakout'!D13</f>
        <v>0.29175664485541247</v>
      </c>
      <c r="E71" s="206">
        <f>(E5+E18)/'Revenue, EBITDA, capex breakout'!E13</f>
        <v>0.29048875030700394</v>
      </c>
      <c r="F71" s="206">
        <f>(F5+F18)/'Revenue, EBITDA, capex breakout'!F13</f>
        <v>0.3122774559304603</v>
      </c>
      <c r="G71" s="206">
        <f>(G5+G18)/'Revenue, EBITDA, capex breakout'!G13</f>
        <v>0.30915198389992699</v>
      </c>
      <c r="H71" s="206">
        <f>(H5+H18)/'Revenue, EBITDA, capex breakout'!H13</f>
        <v>0.32349902418538007</v>
      </c>
      <c r="I71" s="206">
        <f>(I5+I18)/'Revenue, EBITDA, capex breakout'!I13</f>
        <v>0.31864302341503492</v>
      </c>
      <c r="J71" s="206">
        <f>(J5+J18)/'Revenue, EBITDA, capex breakout'!J13</f>
        <v>0.31199198177547266</v>
      </c>
      <c r="K71" s="206">
        <f>(K5+K18)/'Revenue, EBITDA, capex breakout'!K13</f>
        <v>0.35074703110521283</v>
      </c>
      <c r="L71" s="206">
        <f>(L5+L18)/'Revenue, EBITDA, capex breakout'!L13</f>
        <v>0.34990373161337374</v>
      </c>
      <c r="M71" s="206">
        <f>(M5+M18)/'Revenue, EBITDA, capex breakout'!M13</f>
        <v>0.33804358852889155</v>
      </c>
      <c r="N71" s="206">
        <f>(N5+N18)/'Revenue, EBITDA, capex breakout'!N13</f>
        <v>0.32252183423193509</v>
      </c>
      <c r="O71" s="206">
        <f>(O5+O18)/'Revenue, EBITDA, capex breakout'!O13</f>
        <v>0.31888403729448628</v>
      </c>
      <c r="P71" s="206">
        <f>(P5+P18)/'Revenue, EBITDA, capex breakout'!P13</f>
        <v>0.31039074542901568</v>
      </c>
      <c r="Q71" s="206">
        <f>(Q5+Q18)/'Revenue, EBITDA, capex breakout'!Q13</f>
        <v>0.28614980485325103</v>
      </c>
      <c r="R71" s="206">
        <f>(R5+R18)/'Revenue, EBITDA, capex breakout'!R13</f>
        <v>0.2766275459910692</v>
      </c>
      <c r="S71" s="206">
        <f>(S5+S18)/'Revenue, EBITDA, capex breakout'!S13</f>
        <v>0.28011232595644342</v>
      </c>
      <c r="T71" s="206">
        <f>(T5+T18)/'Revenue, EBITDA, capex breakout'!T13</f>
        <v>0.27690813608882281</v>
      </c>
      <c r="U71" s="206">
        <f>(U5+U18)/'Revenue, EBITDA, capex breakout'!U13</f>
        <v>0.2760416301503229</v>
      </c>
      <c r="V71" s="207">
        <f>(V5+V18)/'Revenue, EBITDA, capex breakout'!V13</f>
        <v>0.2608435392832677</v>
      </c>
      <c r="W71" s="207">
        <f>(W5+W18)/'Revenue, EBITDA, capex breakout'!W13</f>
        <v>0.23210378518877556</v>
      </c>
      <c r="X71" s="207">
        <f>(X5+X18)/'Revenue, EBITDA, capex breakout'!X13</f>
        <v>0.24002930277679249</v>
      </c>
      <c r="Y71" s="207">
        <f>(Y5+Y18)/'Revenue, EBITDA, capex breakout'!Y13</f>
        <v>0.23453645813301829</v>
      </c>
      <c r="Z71" s="207">
        <f>(Z5+Z18)/'Revenue, EBITDA, capex breakout'!Z13</f>
        <v>0.22542812144795765</v>
      </c>
      <c r="AA71" s="207">
        <f>(AA5+AA18)/'Revenue, EBITDA, capex breakout'!AA13</f>
        <v>0.2436434937938825</v>
      </c>
      <c r="AB71" s="207">
        <f>(AB5+AB18)/'Revenue, EBITDA, capex breakout'!AB13</f>
        <v>0.25742872909114789</v>
      </c>
      <c r="AC71" s="207">
        <f>(AC5+AC18)/'Revenue, EBITDA, capex breakout'!AC13</f>
        <v>0.24623764484683847</v>
      </c>
      <c r="AD71" s="207">
        <f>(AD5+AD18)/'Revenue, EBITDA, capex breakout'!AD13</f>
        <v>0.25805880546733095</v>
      </c>
      <c r="AE71" s="207">
        <f>(AE5+AE18)/'Revenue, EBITDA, capex breakout'!AE13</f>
        <v>0.27222357698689875</v>
      </c>
      <c r="AF71" s="208">
        <f>(AF5+AF18)/'Revenue, EBITDA, capex breakout'!AF13</f>
        <v>0.28314591604074768</v>
      </c>
      <c r="AG71" s="208">
        <f>(AG5+AG18)/'Revenue, EBITDA, capex breakout'!AG13</f>
        <v>0.27297564569934468</v>
      </c>
      <c r="AH71" s="208">
        <f>(AH5+AH18)/'Revenue, EBITDA, capex breakout'!AH13</f>
        <v>0.2725545491658854</v>
      </c>
      <c r="AI71" s="208">
        <f>(AI5+AI18)/'Revenue, EBITDA, capex breakout'!AI13</f>
        <v>0.28518359021924822</v>
      </c>
      <c r="AJ71" s="208">
        <f>(AJ5+AJ18)/'Revenue, EBITDA, capex breakout'!AJ13</f>
        <v>0.29091378238202492</v>
      </c>
      <c r="AK71" s="208">
        <f>(AK5+AK18)/'Revenue, EBITDA, capex breakout'!AK13</f>
        <v>0.28712103173653164</v>
      </c>
      <c r="AL71" s="208">
        <f>(AL5+AL18)/'Revenue, EBITDA, capex breakout'!AL13</f>
        <v>0.28166362794619215</v>
      </c>
      <c r="AM71" s="208">
        <f>(AM5+AM18)/'Revenue, EBITDA, capex breakout'!AM13</f>
        <v>0.29040502630825921</v>
      </c>
      <c r="AN71" s="208">
        <f>(AN5+AN18)/'Revenue, EBITDA, capex breakout'!AN13</f>
        <v>0.29226464775368244</v>
      </c>
      <c r="AO71" s="208">
        <f>(AO5+AO18)/'Revenue, EBITDA, capex breakout'!AO13</f>
        <v>0.29905970090855732</v>
      </c>
      <c r="AP71" s="208">
        <f>(AP5+AP18)/'Revenue, EBITDA, capex breakout'!AP13</f>
        <v>0.30805824823617317</v>
      </c>
      <c r="AQ71" s="208">
        <f>(AQ5+AQ18)/'Revenue, EBITDA, capex breakout'!AQ13</f>
        <v>0.30668752579695252</v>
      </c>
      <c r="AR71" s="208">
        <f>(AR5+AR18)/'Revenue, EBITDA, capex breakout'!AR13</f>
        <v>0.30813176157758165</v>
      </c>
      <c r="AS71" s="208">
        <f>(AS5+AS18)/'Revenue, EBITDA, capex breakout'!AS13</f>
        <v>0.29477617530642586</v>
      </c>
      <c r="AT71" s="208">
        <f>(AT5+AT18)/'Revenue, EBITDA, capex breakout'!AT13</f>
        <v>0.2977864128323619</v>
      </c>
      <c r="AU71" s="208">
        <f>(AU5+AU18)/'Revenue, EBITDA, capex breakout'!AU13</f>
        <v>0.30453586363110108</v>
      </c>
      <c r="AV71" s="208">
        <f>(AV5+AV18)/'Revenue, EBITDA, capex breakout'!AV13</f>
        <v>0.31184255238590752</v>
      </c>
      <c r="AW71" s="208">
        <f>(AW5+AW18)/'Revenue, EBITDA, capex breakout'!AW13</f>
        <v>0.30859058468074674</v>
      </c>
      <c r="AX71" s="208">
        <f>(AX5+AX18)/'Revenue, EBITDA, capex breakout'!AX13</f>
        <v>0.30476013898607895</v>
      </c>
      <c r="AY71" s="208">
        <f>(AY5+AY18)/'Revenue, EBITDA, capex breakout'!AY13</f>
        <v>0.27994010845051565</v>
      </c>
      <c r="AZ71" s="208">
        <f>(AZ5+AZ18)/'Revenue, EBITDA, capex breakout'!AZ13</f>
        <v>0.27419249629679016</v>
      </c>
      <c r="BA71" s="208">
        <f>(BA5+BA18)/'Revenue, EBITDA, capex breakout'!BA13</f>
        <v>0.24972365511210368</v>
      </c>
      <c r="BB71" s="208">
        <f>(BB5+BB18)/'Revenue, EBITDA, capex breakout'!BB13</f>
        <v>0.25271149389666198</v>
      </c>
      <c r="BC71" s="208">
        <f>(BC5+BC18)/'Revenue, EBITDA, capex breakout'!BC13</f>
        <v>0.24505201458085296</v>
      </c>
      <c r="BD71" s="2"/>
      <c r="BE71" s="2"/>
    </row>
    <row r="72" spans="1:57" s="193" customFormat="1">
      <c r="A72" s="3" t="s">
        <v>93</v>
      </c>
      <c r="B72" s="206"/>
      <c r="C72" s="206"/>
      <c r="D72" s="206"/>
      <c r="E72" s="206"/>
      <c r="F72" s="206">
        <f>(F7+F20)/'Revenue, EBITDA, capex breakout'!F25</f>
        <v>0.2628336007000146</v>
      </c>
      <c r="G72" s="206">
        <f>(G7+G20)/'Revenue, EBITDA, capex breakout'!G25</f>
        <v>0.26713436305142413</v>
      </c>
      <c r="H72" s="206">
        <f>(H7+H20)/'Revenue, EBITDA, capex breakout'!H25</f>
        <v>0.26504309578097962</v>
      </c>
      <c r="I72" s="206">
        <f>(I7+I20)/'Revenue, EBITDA, capex breakout'!I25</f>
        <v>0.25090903266110304</v>
      </c>
      <c r="J72" s="206">
        <f>(J7+J20)/'Revenue, EBITDA, capex breakout'!J25</f>
        <v>0.24542832411495979</v>
      </c>
      <c r="K72" s="206">
        <f>(K7+K20)/'Revenue, EBITDA, capex breakout'!K25</f>
        <v>0.28202337729248694</v>
      </c>
      <c r="L72" s="206">
        <f>(L7+L20)/'Revenue, EBITDA, capex breakout'!L25</f>
        <v>0.26709638420696863</v>
      </c>
      <c r="M72" s="206">
        <f>(M7+M20)/'Revenue, EBITDA, capex breakout'!M25</f>
        <v>0.24793604121006732</v>
      </c>
      <c r="N72" s="206">
        <f>(N7+N20)/'Revenue, EBITDA, capex breakout'!N25</f>
        <v>0.22133705120447028</v>
      </c>
      <c r="O72" s="206">
        <f>(O7+O20)/'Revenue, EBITDA, capex breakout'!O25</f>
        <v>0.21184624799339316</v>
      </c>
      <c r="P72" s="206">
        <f>(P7+P20)/'Revenue, EBITDA, capex breakout'!P25</f>
        <v>0.18757218810363296</v>
      </c>
      <c r="Q72" s="206">
        <f>(Q7+Q20)/'Revenue, EBITDA, capex breakout'!Q25</f>
        <v>0.15695538846034376</v>
      </c>
      <c r="R72" s="206">
        <f>(R7+R20)/'Revenue, EBITDA, capex breakout'!R25</f>
        <v>0.14764634334337975</v>
      </c>
      <c r="S72" s="206">
        <f>(S7+S20)/'Revenue, EBITDA, capex breakout'!S25</f>
        <v>0.15066722769893395</v>
      </c>
      <c r="T72" s="206">
        <f>(T7+T20)/'Revenue, EBITDA, capex breakout'!T25</f>
        <v>0.15240469534384274</v>
      </c>
      <c r="U72" s="206">
        <f>(U7+U20)/'Revenue, EBITDA, capex breakout'!U25</f>
        <v>0.15803332304862641</v>
      </c>
      <c r="V72" s="207">
        <f>(V7+V20)/'Revenue, EBITDA, capex breakout'!V25</f>
        <v>0.14567833964113303</v>
      </c>
      <c r="W72" s="207">
        <f>(W7+W20)/'Revenue, EBITDA, capex breakout'!W25</f>
        <v>0.13159381240869614</v>
      </c>
      <c r="X72" s="207">
        <f>(X7+X20)/'Revenue, EBITDA, capex breakout'!X25</f>
        <v>0.15293208162601912</v>
      </c>
      <c r="Y72" s="207">
        <f>(Y7+Y20)/'Revenue, EBITDA, capex breakout'!Y25</f>
        <v>0.16211249201835412</v>
      </c>
      <c r="Z72" s="207">
        <f>(Z7+Z20)/'Revenue, EBITDA, capex breakout'!Z25</f>
        <v>0.17325432833802451</v>
      </c>
      <c r="AA72" s="207">
        <f>(AA7+AA20)/'Revenue, EBITDA, capex breakout'!AA25</f>
        <v>0.20989042567812385</v>
      </c>
      <c r="AB72" s="207">
        <f>(AB7+AB20)/'Revenue, EBITDA, capex breakout'!AB25</f>
        <v>0.2399607807228451</v>
      </c>
      <c r="AC72" s="207">
        <f>(AC7+AC20)/'Revenue, EBITDA, capex breakout'!AC25</f>
        <v>0.25487617869354384</v>
      </c>
      <c r="AD72" s="207">
        <f>(AD7+AD20)/'Revenue, EBITDA, capex breakout'!AD25</f>
        <v>0.28127679732491517</v>
      </c>
      <c r="AE72" s="207">
        <f>(AE7+AE20)/'Revenue, EBITDA, capex breakout'!AE25</f>
        <v>0.33049445934094129</v>
      </c>
      <c r="AF72" s="208">
        <f>(AF7+AF20)/'Revenue, EBITDA, capex breakout'!AF25</f>
        <v>0.34739617396229505</v>
      </c>
      <c r="AG72" s="208">
        <f>(AG7+AG20)/'Revenue, EBITDA, capex breakout'!AG25</f>
        <v>0.31812552024882285</v>
      </c>
      <c r="AH72" s="208">
        <f>(AH7+AH20)/'Revenue, EBITDA, capex breakout'!AH25</f>
        <v>0.28610780965265659</v>
      </c>
      <c r="AI72" s="208">
        <f>(AI7+AI20)/'Revenue, EBITDA, capex breakout'!AI25</f>
        <v>0.29280574734509807</v>
      </c>
      <c r="AJ72" s="208">
        <f>(AJ7+AJ20)/'Revenue, EBITDA, capex breakout'!AJ25</f>
        <v>0.30413486943209589</v>
      </c>
      <c r="AK72" s="208">
        <f>(AK7+AK20)/'Revenue, EBITDA, capex breakout'!AK25</f>
        <v>0.29491572290415147</v>
      </c>
      <c r="AL72" s="208">
        <f>(AL7+AL20)/'Revenue, EBITDA, capex breakout'!AL25</f>
        <v>0.28189275695732946</v>
      </c>
      <c r="AM72" s="208">
        <f>(AM7+AM20)/'Revenue, EBITDA, capex breakout'!AM25</f>
        <v>0.28925925138978104</v>
      </c>
      <c r="AN72" s="208">
        <f>(AN7+AN20)/'Revenue, EBITDA, capex breakout'!AN25</f>
        <v>0.29472625836345928</v>
      </c>
      <c r="AO72" s="208">
        <f>(AO7+AO20)/'Revenue, EBITDA, capex breakout'!AO25</f>
        <v>0.28711830864037463</v>
      </c>
      <c r="AP72" s="208">
        <f>(AP7+AP20)/'Revenue, EBITDA, capex breakout'!AP25</f>
        <v>0.29692131271650724</v>
      </c>
      <c r="AQ72" s="208">
        <f>(AQ7+AQ20)/'Revenue, EBITDA, capex breakout'!AQ25</f>
        <v>0.29678140858763541</v>
      </c>
      <c r="AR72" s="208">
        <f>(AR7+AR20)/'Revenue, EBITDA, capex breakout'!AR25</f>
        <v>0.3017894093625233</v>
      </c>
      <c r="AS72" s="208">
        <f>(AS7+AS20)/'Revenue, EBITDA, capex breakout'!AS25</f>
        <v>0.28568518334586596</v>
      </c>
      <c r="AT72" s="208">
        <f>(AT7+AT20)/'Revenue, EBITDA, capex breakout'!AT25</f>
        <v>0.28470302258262892</v>
      </c>
      <c r="AU72" s="208">
        <f>(AU7+AU20)/'Revenue, EBITDA, capex breakout'!AU25</f>
        <v>0.28841751158597045</v>
      </c>
      <c r="AV72" s="208">
        <f>(AV7+AV20)/'Revenue, EBITDA, capex breakout'!AV25</f>
        <v>0.29212030909869569</v>
      </c>
      <c r="AW72" s="208">
        <f>(AW7+AW20)/'Revenue, EBITDA, capex breakout'!AW25</f>
        <v>0.28735319961253775</v>
      </c>
      <c r="AX72" s="208">
        <f>(AX7+AX20)/'Revenue, EBITDA, capex breakout'!AX25</f>
        <v>0.28318712658354295</v>
      </c>
      <c r="AY72" s="208">
        <f>(AY7+AY20)/'Revenue, EBITDA, capex breakout'!AY25</f>
        <v>0.25953707083069072</v>
      </c>
      <c r="AZ72" s="208">
        <f>(AZ7+AZ20)/'Revenue, EBITDA, capex breakout'!AZ25</f>
        <v>0.25163953437622366</v>
      </c>
      <c r="BA72" s="208">
        <f>(BA7+BA20)/'Revenue, EBITDA, capex breakout'!BA25</f>
        <v>0.21934825780350226</v>
      </c>
      <c r="BB72" s="208">
        <f>(BB7+BB20)/'Revenue, EBITDA, capex breakout'!BB25</f>
        <v>0.2178597241181108</v>
      </c>
      <c r="BC72" s="208">
        <f>(BC7+BC20)/'Revenue, EBITDA, capex breakout'!BC25</f>
        <v>0.21460749000483867</v>
      </c>
      <c r="BD72" s="3"/>
      <c r="BE72" s="2"/>
    </row>
    <row r="73" spans="1:57" s="193" customFormat="1">
      <c r="A73" s="3"/>
      <c r="B73" s="217"/>
      <c r="C73" s="217"/>
      <c r="D73" s="217"/>
      <c r="E73" s="217"/>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8"/>
      <c r="AG73" s="218"/>
      <c r="AH73" s="218"/>
      <c r="AI73" s="218"/>
      <c r="AJ73" s="218"/>
      <c r="AK73" s="218"/>
      <c r="AL73" s="218"/>
      <c r="AM73" s="218"/>
      <c r="AN73" s="218"/>
      <c r="AO73" s="218"/>
      <c r="AP73" s="218"/>
      <c r="AQ73" s="218"/>
      <c r="AR73" s="218"/>
      <c r="AS73" s="218"/>
      <c r="AT73" s="218"/>
      <c r="AU73" s="218"/>
      <c r="AV73" s="218"/>
      <c r="AW73" s="218"/>
      <c r="AX73" s="218"/>
      <c r="AY73" s="218"/>
      <c r="AZ73" s="218"/>
      <c r="BA73" s="218"/>
      <c r="BB73" s="218"/>
      <c r="BC73" s="218"/>
      <c r="BD73" s="3"/>
      <c r="BE73" s="2"/>
    </row>
    <row r="74" spans="1:57" s="193" customFormat="1">
      <c r="A74" s="3" t="s">
        <v>95</v>
      </c>
      <c r="B74" s="214"/>
      <c r="C74" s="214"/>
      <c r="D74" s="214"/>
      <c r="E74" s="214"/>
      <c r="F74" s="214">
        <f t="shared" ref="F74:Y74" si="264">F7-F12+F20-F25</f>
        <v>6048</v>
      </c>
      <c r="G74" s="214">
        <f t="shared" si="264"/>
        <v>3161</v>
      </c>
      <c r="H74" s="214">
        <f t="shared" si="264"/>
        <v>6490</v>
      </c>
      <c r="I74" s="214">
        <f t="shared" si="264"/>
        <v>1639</v>
      </c>
      <c r="J74" s="214">
        <f t="shared" si="264"/>
        <v>5908.2067390000047</v>
      </c>
      <c r="K74" s="214">
        <f t="shared" si="264"/>
        <v>8305.8044320000008</v>
      </c>
      <c r="L74" s="214">
        <f t="shared" si="264"/>
        <v>8167.064777000016</v>
      </c>
      <c r="M74" s="214">
        <f t="shared" si="264"/>
        <v>5179.2318249999862</v>
      </c>
      <c r="N74" s="214">
        <f t="shared" si="264"/>
        <v>6804.6277840000002</v>
      </c>
      <c r="O74" s="214">
        <f t="shared" si="264"/>
        <v>-265.28982099999121</v>
      </c>
      <c r="P74" s="214">
        <f t="shared" si="264"/>
        <v>-3322.439636000021</v>
      </c>
      <c r="Q74" s="214">
        <f t="shared" si="264"/>
        <v>-10904.458602000028</v>
      </c>
      <c r="R74" s="214">
        <f t="shared" si="264"/>
        <v>1694.8317360000019</v>
      </c>
      <c r="S74" s="214">
        <f t="shared" si="264"/>
        <v>470.91766899999129</v>
      </c>
      <c r="T74" s="214">
        <f t="shared" si="264"/>
        <v>270.38779799998156</v>
      </c>
      <c r="U74" s="214">
        <f t="shared" si="264"/>
        <v>-4612.1216510645063</v>
      </c>
      <c r="V74" s="215">
        <f t="shared" si="264"/>
        <v>5938.2180706585686</v>
      </c>
      <c r="W74" s="215">
        <f t="shared" si="264"/>
        <v>5385.5505095798071</v>
      </c>
      <c r="X74" s="215">
        <f t="shared" si="264"/>
        <v>8283.8932534144442</v>
      </c>
      <c r="Y74" s="215">
        <f t="shared" si="264"/>
        <v>3372.2432025142134</v>
      </c>
      <c r="Z74" s="215">
        <f t="shared" ref="Z74:AA74" si="265">Z7-Z12+Z20-Z25</f>
        <v>10114.469080071705</v>
      </c>
      <c r="AA74" s="215">
        <f t="shared" si="265"/>
        <v>13401</v>
      </c>
      <c r="AB74" s="215">
        <f t="shared" ref="AB74:AC74" si="266">AB7-AB12+AB20-AB25</f>
        <v>13150.080925841694</v>
      </c>
      <c r="AC74" s="215">
        <f t="shared" si="266"/>
        <v>1327.7812510343156</v>
      </c>
      <c r="AD74" s="215">
        <f t="shared" ref="AD74:AE74" si="267">AD7-AD12+AD20-AD25</f>
        <v>15727.232702825324</v>
      </c>
      <c r="AE74" s="215">
        <f t="shared" si="267"/>
        <v>13155.255039373929</v>
      </c>
      <c r="AF74" s="216">
        <f t="shared" ref="AF74:AG74" si="268">AF7-AF12+AF20-AF25</f>
        <v>14269.184458876458</v>
      </c>
      <c r="AG74" s="216">
        <f t="shared" si="268"/>
        <v>-6.795631709483132</v>
      </c>
      <c r="AH74" s="216">
        <f t="shared" ref="AH74:AI74" si="269">AH7-AH12+AH20-AH25</f>
        <v>17794.485757329472</v>
      </c>
      <c r="AI74" s="216">
        <f t="shared" si="269"/>
        <v>15733</v>
      </c>
      <c r="AJ74" s="216">
        <f t="shared" ref="AJ74:AK74" si="270">AJ7-AJ12+AJ20-AJ25</f>
        <v>17428.998004663983</v>
      </c>
      <c r="AK74" s="216">
        <f t="shared" si="270"/>
        <v>10609.354597574034</v>
      </c>
      <c r="AL74" s="216">
        <f t="shared" ref="AL74:AM74" si="271">AL7-AL12+AL20-AL25</f>
        <v>23185.277333751987</v>
      </c>
      <c r="AM74" s="216">
        <f t="shared" si="271"/>
        <v>20565.038184906967</v>
      </c>
      <c r="AN74" s="216">
        <f t="shared" ref="AN74:AO74" si="272">AN7-AN12+AN20-AN25</f>
        <v>21167.974449115667</v>
      </c>
      <c r="AO74" s="216">
        <f t="shared" si="272"/>
        <v>19077.719027277977</v>
      </c>
      <c r="AP74" s="216">
        <f t="shared" ref="AP74:AQ74" si="273">AP7-AP12+AP20-AP25</f>
        <v>30389.350591838003</v>
      </c>
      <c r="AQ74" s="216">
        <f t="shared" si="273"/>
        <v>29872.651488583444</v>
      </c>
      <c r="AR74" s="216">
        <f t="shared" ref="AR74:AS74" si="274">AR7-AR12+AR20-AR25</f>
        <v>30503.731696269679</v>
      </c>
      <c r="AS74" s="216">
        <f t="shared" si="274"/>
        <v>28501.221191518234</v>
      </c>
      <c r="AT74" s="216">
        <f t="shared" ref="AT74:AU74" si="275">AT7-AT12+AT20-AT25</f>
        <v>36171.460691726978</v>
      </c>
      <c r="AU74" s="216">
        <f t="shared" si="275"/>
        <v>37480.981100628997</v>
      </c>
      <c r="AV74" s="216">
        <f t="shared" ref="AV74:AW74" si="276">AV7-AV12+AV20-AV25</f>
        <v>42154.955621147863</v>
      </c>
      <c r="AW74" s="216">
        <f t="shared" si="276"/>
        <v>29575.274485714137</v>
      </c>
      <c r="AX74" s="216">
        <f t="shared" ref="AX74:AY74" si="277">AX7-AX12+AX20-AX25</f>
        <v>44328.356469210972</v>
      </c>
      <c r="AY74" s="216">
        <f t="shared" si="277"/>
        <v>36760.364618701773</v>
      </c>
      <c r="AZ74" s="216">
        <f t="shared" ref="AZ74:BA74" si="278">AZ7-AZ12+AZ20-AZ25</f>
        <v>35262.08634817235</v>
      </c>
      <c r="BA74" s="216">
        <f t="shared" si="278"/>
        <v>22720.631462334939</v>
      </c>
      <c r="BB74" s="216">
        <f t="shared" ref="BB74:BC74" si="279">BB7-BB12+BB20-BB25</f>
        <v>31192.514607564259</v>
      </c>
      <c r="BC74" s="216">
        <f t="shared" si="279"/>
        <v>33108.237799808849</v>
      </c>
      <c r="BD74" s="3"/>
      <c r="BE74" s="2"/>
    </row>
    <row r="75" spans="1:57" s="193" customFormat="1">
      <c r="A75" s="3"/>
      <c r="B75" s="217"/>
      <c r="C75" s="217"/>
      <c r="D75" s="217"/>
      <c r="E75" s="217"/>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8"/>
      <c r="AG75" s="218"/>
      <c r="AH75" s="218"/>
      <c r="AI75" s="218"/>
      <c r="AJ75" s="218"/>
      <c r="AK75" s="218"/>
      <c r="AL75" s="218"/>
      <c r="AM75" s="218"/>
      <c r="AN75" s="218"/>
      <c r="AO75" s="218"/>
      <c r="AP75" s="218"/>
      <c r="AQ75" s="218"/>
      <c r="AR75" s="218"/>
      <c r="AS75" s="218"/>
      <c r="AT75" s="218"/>
      <c r="AU75" s="218"/>
      <c r="AV75" s="218"/>
      <c r="AW75" s="218"/>
      <c r="AX75" s="218"/>
      <c r="AY75" s="218"/>
      <c r="AZ75" s="218"/>
      <c r="BA75" s="218"/>
      <c r="BB75" s="218"/>
      <c r="BC75" s="218"/>
      <c r="BD75" s="3"/>
      <c r="BE75" s="2"/>
    </row>
    <row r="76" spans="1:57">
      <c r="A76" s="2"/>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111"/>
      <c r="AG76" s="111"/>
      <c r="AH76" s="111"/>
      <c r="AI76" s="111"/>
      <c r="AJ76" s="111"/>
      <c r="AK76" s="111"/>
      <c r="AL76" s="111"/>
      <c r="AM76" s="111"/>
      <c r="AN76" s="111"/>
      <c r="AO76" s="111"/>
      <c r="AP76" s="111"/>
      <c r="AQ76" s="111"/>
      <c r="AR76" s="111"/>
      <c r="AS76" s="111"/>
      <c r="AT76" s="111"/>
      <c r="AU76" s="111"/>
      <c r="AV76" s="111"/>
      <c r="AW76" s="111"/>
      <c r="AX76" s="111"/>
      <c r="AY76" s="111"/>
      <c r="AZ76" s="111"/>
      <c r="BA76" s="111"/>
      <c r="BB76" s="111"/>
      <c r="BC76" s="111"/>
      <c r="BD76" s="2"/>
      <c r="BE76" s="2"/>
    </row>
    <row r="77" spans="1:57">
      <c r="A77" s="2"/>
      <c r="B77" s="85"/>
      <c r="C77" s="85"/>
      <c r="D77" s="85"/>
      <c r="E77" s="85"/>
      <c r="F77" s="85"/>
      <c r="G77" s="85"/>
      <c r="H77" s="85"/>
      <c r="I77" s="85"/>
      <c r="J77" s="85"/>
      <c r="K77" s="85"/>
      <c r="L77" s="85"/>
      <c r="M77" s="85"/>
      <c r="N77" s="85"/>
      <c r="O77" s="85"/>
      <c r="P77" s="85"/>
      <c r="Q77" s="85"/>
      <c r="R77" s="85"/>
      <c r="S77" s="85"/>
      <c r="T77" s="85"/>
      <c r="U77" s="85"/>
      <c r="V77" s="85"/>
      <c r="W77" s="85"/>
      <c r="X77" s="85"/>
      <c r="Y77" s="85"/>
      <c r="Z77" s="85"/>
      <c r="AA77" s="85"/>
      <c r="AB77" s="85"/>
      <c r="AC77" s="85"/>
      <c r="AD77" s="85"/>
      <c r="AE77" s="85"/>
      <c r="AF77" s="111"/>
      <c r="AG77" s="111"/>
      <c r="AH77" s="111"/>
      <c r="AI77" s="111"/>
      <c r="AJ77" s="111"/>
      <c r="AK77" s="111"/>
      <c r="AL77" s="111"/>
      <c r="AM77" s="111"/>
      <c r="AN77" s="111"/>
      <c r="AO77" s="111"/>
      <c r="AP77" s="111"/>
      <c r="AQ77" s="111"/>
      <c r="AR77" s="111"/>
      <c r="AS77" s="111"/>
      <c r="AT77" s="111"/>
      <c r="AU77" s="111"/>
      <c r="AV77" s="111"/>
      <c r="AW77" s="111"/>
      <c r="AX77" s="111"/>
      <c r="AY77" s="111"/>
      <c r="AZ77" s="111"/>
      <c r="BA77" s="111"/>
      <c r="BB77" s="111"/>
      <c r="BC77" s="111"/>
      <c r="BD77" s="2"/>
      <c r="BE77" s="2"/>
    </row>
    <row r="78" spans="1:57">
      <c r="A78" s="2"/>
      <c r="B78" s="85"/>
      <c r="C78" s="85"/>
      <c r="D78" s="85"/>
      <c r="E78" s="85"/>
      <c r="F78" s="85"/>
      <c r="G78" s="85"/>
      <c r="H78" s="85"/>
      <c r="I78" s="85"/>
      <c r="J78" s="85"/>
      <c r="K78" s="85"/>
      <c r="L78" s="85"/>
      <c r="M78" s="85"/>
      <c r="N78" s="85"/>
      <c r="O78" s="85"/>
      <c r="P78" s="85"/>
      <c r="Q78" s="85"/>
      <c r="R78" s="85"/>
      <c r="S78" s="85"/>
      <c r="T78" s="85"/>
      <c r="U78" s="85"/>
      <c r="V78" s="85"/>
      <c r="W78" s="85"/>
      <c r="X78" s="85"/>
      <c r="Y78" s="85"/>
      <c r="Z78" s="85"/>
      <c r="AA78" s="85"/>
      <c r="AB78" s="85"/>
      <c r="AC78" s="85"/>
      <c r="AD78" s="85"/>
      <c r="AE78" s="85"/>
      <c r="AF78" s="111"/>
      <c r="AG78" s="111"/>
      <c r="AH78" s="111"/>
      <c r="AI78" s="111"/>
      <c r="AJ78" s="111"/>
      <c r="AK78" s="111"/>
      <c r="AL78" s="111"/>
      <c r="AM78" s="111"/>
      <c r="AN78" s="111"/>
      <c r="AO78" s="111"/>
      <c r="AP78" s="111"/>
      <c r="AQ78" s="111"/>
      <c r="AR78" s="111"/>
      <c r="AS78" s="111"/>
      <c r="AT78" s="111"/>
      <c r="AU78" s="111"/>
      <c r="AV78" s="111"/>
      <c r="AW78" s="111"/>
      <c r="AX78" s="111"/>
      <c r="AY78" s="111"/>
      <c r="AZ78" s="111"/>
      <c r="BA78" s="111"/>
      <c r="BB78" s="111"/>
      <c r="BC78" s="111"/>
      <c r="BD78" s="2"/>
      <c r="BE78" s="2"/>
    </row>
    <row r="79" spans="1:57">
      <c r="A79" s="2" t="s">
        <v>577</v>
      </c>
      <c r="B79" s="118">
        <f t="shared" ref="B79:Z79" si="280">B34-B35</f>
        <v>0</v>
      </c>
      <c r="C79" s="118">
        <f t="shared" si="280"/>
        <v>0</v>
      </c>
      <c r="D79" s="118">
        <f t="shared" si="280"/>
        <v>0</v>
      </c>
      <c r="E79" s="118">
        <f t="shared" si="280"/>
        <v>0</v>
      </c>
      <c r="F79" s="118">
        <f t="shared" si="280"/>
        <v>0</v>
      </c>
      <c r="G79" s="118">
        <f t="shared" si="280"/>
        <v>0</v>
      </c>
      <c r="H79" s="118">
        <f t="shared" si="280"/>
        <v>0</v>
      </c>
      <c r="I79" s="118">
        <f t="shared" si="280"/>
        <v>0</v>
      </c>
      <c r="J79" s="118">
        <f t="shared" si="280"/>
        <v>0</v>
      </c>
      <c r="K79" s="118">
        <f t="shared" si="280"/>
        <v>0</v>
      </c>
      <c r="L79" s="118">
        <f t="shared" si="280"/>
        <v>0</v>
      </c>
      <c r="M79" s="118"/>
      <c r="N79" s="118"/>
      <c r="O79" s="118"/>
      <c r="P79" s="118"/>
      <c r="Q79" s="118"/>
      <c r="R79" s="118"/>
      <c r="S79" s="118"/>
      <c r="T79" s="118"/>
      <c r="U79" s="118"/>
      <c r="V79" s="118"/>
      <c r="W79" s="118"/>
      <c r="X79" s="118">
        <f t="shared" si="280"/>
        <v>6575.8110375202377</v>
      </c>
      <c r="Y79" s="118">
        <f t="shared" si="280"/>
        <v>1011.2155836112283</v>
      </c>
      <c r="Z79" s="118">
        <f t="shared" si="280"/>
        <v>-2292.7193059123711</v>
      </c>
      <c r="AA79" s="118">
        <f t="shared" ref="AA79:AB79" si="281">AA34-AA35</f>
        <v>2881.5813336955998</v>
      </c>
      <c r="AB79" s="118">
        <f t="shared" si="281"/>
        <v>3444.5563515790072</v>
      </c>
      <c r="AC79" s="118">
        <f t="shared" ref="AC79:AD79" si="282">AC34-AC35</f>
        <v>7648.9965862312183</v>
      </c>
      <c r="AD79" s="118">
        <f t="shared" si="282"/>
        <v>4287.2458590373599</v>
      </c>
      <c r="AE79" s="118">
        <f t="shared" ref="AE79:AF79" si="283">AE34-AE35</f>
        <v>9494.8205269780046</v>
      </c>
      <c r="AF79" s="119">
        <f t="shared" si="283"/>
        <v>4107.3748404207163</v>
      </c>
      <c r="AG79" s="119">
        <f t="shared" ref="AG79:AH79" si="284">AG34-AG35</f>
        <v>3903.2421952622135</v>
      </c>
      <c r="AH79" s="119">
        <f t="shared" si="284"/>
        <v>5707.1672774304143</v>
      </c>
      <c r="AI79" s="119">
        <f t="shared" ref="AI79:AJ79" si="285">AI34-AI35</f>
        <v>4711</v>
      </c>
      <c r="AJ79" s="119">
        <f t="shared" si="285"/>
        <v>5568.4979407052087</v>
      </c>
      <c r="AK79" s="119">
        <f t="shared" ref="AK79:AL79" si="286">AK34-AK35</f>
        <v>10705.497668330001</v>
      </c>
      <c r="AL79" s="119">
        <f t="shared" si="286"/>
        <v>7546.7259396139998</v>
      </c>
      <c r="AM79" s="119">
        <f t="shared" ref="AM79:AO79" si="287">AM34-AM35</f>
        <v>6933.6222542089999</v>
      </c>
      <c r="AN79" s="119">
        <f t="shared" si="287"/>
        <v>9523.1755547880002</v>
      </c>
      <c r="AO79" s="119">
        <f t="shared" si="287"/>
        <v>7664.7280185560012</v>
      </c>
      <c r="AP79" s="119">
        <f t="shared" ref="AP79:AQ79" si="288">AP34-AP35</f>
        <v>7243.3816686339997</v>
      </c>
      <c r="AQ79" s="119">
        <f t="shared" si="288"/>
        <v>5350.7621655659968</v>
      </c>
      <c r="AR79" s="119">
        <f t="shared" ref="AR79:AS79" si="289">AR34-AR35</f>
        <v>9214.6660135620041</v>
      </c>
      <c r="AS79" s="119">
        <f t="shared" si="289"/>
        <v>8488.1606041119994</v>
      </c>
      <c r="AT79" s="119">
        <f t="shared" ref="AT79:AU79" si="290">AT34-AT35</f>
        <v>11598.415800641989</v>
      </c>
      <c r="AU79" s="119">
        <f t="shared" si="290"/>
        <v>16804.550291168009</v>
      </c>
      <c r="AV79" s="119">
        <f t="shared" ref="AV79:AW79" si="291">AV34-AV35</f>
        <v>13303.737909514006</v>
      </c>
      <c r="AW79" s="119">
        <f t="shared" si="291"/>
        <v>16978.764582061995</v>
      </c>
      <c r="AX79" s="119">
        <f t="shared" ref="AX79:AY79" si="292">AX34-AX35</f>
        <v>17386.629267354994</v>
      </c>
      <c r="AY79" s="119">
        <f t="shared" si="292"/>
        <v>15767.666599438016</v>
      </c>
      <c r="AZ79" s="119">
        <f t="shared" ref="AZ79:BA79" si="293">AZ34-AZ35</f>
        <v>29432.141197899993</v>
      </c>
      <c r="BA79" s="119">
        <f t="shared" si="293"/>
        <v>11843.720164017028</v>
      </c>
      <c r="BB79" s="119">
        <f t="shared" ref="BB79:BC79" si="294">BB34-BB35</f>
        <v>11639.140349186455</v>
      </c>
      <c r="BC79" s="119">
        <f t="shared" si="294"/>
        <v>13146.856554949125</v>
      </c>
      <c r="BD79" s="2"/>
      <c r="BE79" s="2"/>
    </row>
    <row r="80" spans="1:57">
      <c r="A80" s="2" t="s">
        <v>520</v>
      </c>
      <c r="B80" s="118"/>
      <c r="C80" s="118"/>
      <c r="D80" s="118"/>
      <c r="E80" s="118"/>
      <c r="F80" s="118"/>
      <c r="G80" s="118"/>
      <c r="H80" s="118">
        <f t="shared" ref="H80:Z80" si="295">H20-H22</f>
        <v>12100</v>
      </c>
      <c r="I80" s="118">
        <f t="shared" si="295"/>
        <v>12265</v>
      </c>
      <c r="J80" s="118">
        <f t="shared" si="295"/>
        <v>12234.842823000006</v>
      </c>
      <c r="K80" s="118">
        <f t="shared" si="295"/>
        <v>14211.031673000001</v>
      </c>
      <c r="L80" s="118">
        <f t="shared" si="295"/>
        <v>13873.113798999992</v>
      </c>
      <c r="M80" s="118">
        <f t="shared" si="295"/>
        <v>13946.148832000004</v>
      </c>
      <c r="N80" s="118">
        <f t="shared" si="295"/>
        <v>14160.491929000005</v>
      </c>
      <c r="O80" s="118">
        <f t="shared" si="295"/>
        <v>12467.608462999997</v>
      </c>
      <c r="P80" s="118">
        <f t="shared" si="295"/>
        <v>11758.635266999972</v>
      </c>
      <c r="Q80" s="118">
        <f t="shared" si="295"/>
        <v>10954.177102000052</v>
      </c>
      <c r="R80" s="118">
        <f t="shared" si="295"/>
        <v>11912.996834000007</v>
      </c>
      <c r="S80" s="118">
        <f t="shared" si="295"/>
        <v>11478.959347999988</v>
      </c>
      <c r="T80" s="118">
        <f t="shared" si="295"/>
        <v>11339.834686000002</v>
      </c>
      <c r="U80" s="118">
        <f t="shared" si="295"/>
        <v>13247.659699</v>
      </c>
      <c r="V80" s="118">
        <f t="shared" si="295"/>
        <v>12023.221801</v>
      </c>
      <c r="W80" s="118">
        <f t="shared" si="295"/>
        <v>11143.920648539006</v>
      </c>
      <c r="X80" s="118">
        <f t="shared" si="295"/>
        <v>9765.1356185129971</v>
      </c>
      <c r="Y80" s="118">
        <f t="shared" si="295"/>
        <v>9134.8107031529926</v>
      </c>
      <c r="Z80" s="118">
        <f t="shared" si="295"/>
        <v>8577.8665951949988</v>
      </c>
      <c r="AA80" s="118">
        <f t="shared" ref="AA80:AB80" si="296">AA20-AA22</f>
        <v>8514</v>
      </c>
      <c r="AB80" s="118">
        <f t="shared" si="296"/>
        <v>7148.5050038849986</v>
      </c>
      <c r="AC80" s="118">
        <f t="shared" ref="AC80:AD80" si="297">AC20-AC22</f>
        <v>6653.3622044712502</v>
      </c>
      <c r="AD80" s="118">
        <f t="shared" si="297"/>
        <v>7381.9182107503693</v>
      </c>
      <c r="AE80" s="118">
        <f t="shared" ref="AE80:AF80" si="298">AE20-AE22</f>
        <v>7386.4627668987559</v>
      </c>
      <c r="AF80" s="119">
        <f t="shared" si="298"/>
        <v>8254.343736559822</v>
      </c>
      <c r="AG80" s="119">
        <f t="shared" ref="AG80:AH80" si="299">AG20-AG22</f>
        <v>8501.5970624844376</v>
      </c>
      <c r="AH80" s="119">
        <f t="shared" si="299"/>
        <v>10443.927706536102</v>
      </c>
      <c r="AI80" s="119">
        <f t="shared" ref="AI80:AJ80" si="300">AI20-AI22</f>
        <v>10738</v>
      </c>
      <c r="AJ80" s="119">
        <f t="shared" si="300"/>
        <v>10933.166598874221</v>
      </c>
      <c r="AK80" s="119">
        <f t="shared" ref="AK80:AL80" si="301">AK20-AK22</f>
        <v>11013.346568510991</v>
      </c>
      <c r="AL80" s="119">
        <f t="shared" si="301"/>
        <v>12492.468834330997</v>
      </c>
      <c r="AM80" s="119">
        <f t="shared" ref="AM80:AO80" si="302">AM20-AM22</f>
        <v>12500.375535325998</v>
      </c>
      <c r="AN80" s="119">
        <f t="shared" si="302"/>
        <v>13106.710875845001</v>
      </c>
      <c r="AO80" s="119">
        <f t="shared" si="302"/>
        <v>12922.958030476992</v>
      </c>
      <c r="AP80" s="119">
        <f t="shared" ref="AP80:AQ80" si="303">AP20-AP22</f>
        <v>13346.907511973001</v>
      </c>
      <c r="AQ80" s="119">
        <f t="shared" si="303"/>
        <v>13685.984908606006</v>
      </c>
      <c r="AR80" s="119">
        <f t="shared" ref="AR80:AS80" si="304">AR20-AR22</f>
        <v>14250.820277592</v>
      </c>
      <c r="AS80" s="119">
        <f t="shared" si="304"/>
        <v>14201.507032512007</v>
      </c>
      <c r="AT80" s="119">
        <f t="shared" ref="AT80:AU80" si="305">AT20-AT22</f>
        <v>14574.056618998999</v>
      </c>
      <c r="AU80" s="119">
        <f t="shared" si="305"/>
        <v>15582.598996875</v>
      </c>
      <c r="AV80" s="119">
        <f t="shared" ref="AV80:AW80" si="306">AV20-AV22</f>
        <v>17793.619015874006</v>
      </c>
      <c r="AW80" s="119">
        <f t="shared" si="306"/>
        <v>18075.561479676988</v>
      </c>
      <c r="AX80" s="119">
        <f t="shared" ref="AX80:AY80" si="307">AX20-AX22</f>
        <v>18113.873570632</v>
      </c>
      <c r="AY80" s="119">
        <f t="shared" si="307"/>
        <v>16259.514941362002</v>
      </c>
      <c r="AZ80" s="119">
        <f t="shared" ref="AZ80:BA80" si="308">AZ20-AZ22</f>
        <v>16589.451157247</v>
      </c>
      <c r="BA80" s="119">
        <f t="shared" si="308"/>
        <v>14426.012917395004</v>
      </c>
      <c r="BB80" s="119">
        <f t="shared" ref="BB80:BC80" si="309">BB20-BB22</f>
        <v>15683.666040097545</v>
      </c>
      <c r="BC80" s="119">
        <f t="shared" si="309"/>
        <v>16240.544658256244</v>
      </c>
      <c r="BD80" s="2"/>
      <c r="BE80" s="2"/>
    </row>
    <row r="81" spans="1:57">
      <c r="A81" s="2" t="s">
        <v>517</v>
      </c>
      <c r="B81" s="85"/>
      <c r="C81" s="85"/>
      <c r="D81" s="85"/>
      <c r="E81" s="85"/>
      <c r="F81" s="85"/>
      <c r="G81" s="85"/>
      <c r="H81" s="118">
        <f t="shared" ref="H81:Z81" si="310">H22-H23</f>
        <v>4400</v>
      </c>
      <c r="I81" s="118">
        <f t="shared" si="310"/>
        <v>3410</v>
      </c>
      <c r="J81" s="118">
        <f t="shared" si="310"/>
        <v>3408.6667173640039</v>
      </c>
      <c r="K81" s="118">
        <f t="shared" si="310"/>
        <v>4054.7377111845035</v>
      </c>
      <c r="L81" s="118">
        <f t="shared" si="310"/>
        <v>7229.4146180869066</v>
      </c>
      <c r="M81" s="118">
        <f t="shared" si="310"/>
        <v>7520.1991106915302</v>
      </c>
      <c r="N81" s="118">
        <f t="shared" si="310"/>
        <v>7420.864219000001</v>
      </c>
      <c r="O81" s="118">
        <f t="shared" si="310"/>
        <v>7997.2830589999976</v>
      </c>
      <c r="P81" s="118">
        <f t="shared" si="310"/>
        <v>10273.680350000001</v>
      </c>
      <c r="Q81" s="118">
        <f t="shared" si="310"/>
        <v>15485.99941600001</v>
      </c>
      <c r="R81" s="118">
        <f t="shared" si="310"/>
        <v>9537.8853659999986</v>
      </c>
      <c r="S81" s="118">
        <f t="shared" si="310"/>
        <v>10805.449267</v>
      </c>
      <c r="T81" s="118">
        <f t="shared" si="310"/>
        <v>3247.1919957166956</v>
      </c>
      <c r="U81" s="118">
        <f t="shared" si="310"/>
        <v>2224.0801237146325</v>
      </c>
      <c r="V81" s="118">
        <f t="shared" si="310"/>
        <v>4447.3290537367611</v>
      </c>
      <c r="W81" s="118">
        <f t="shared" si="310"/>
        <v>7261.6032545045409</v>
      </c>
      <c r="X81" s="118">
        <f t="shared" si="310"/>
        <v>7250.08139533336</v>
      </c>
      <c r="Y81" s="118">
        <f t="shared" si="310"/>
        <v>1227.8857042809573</v>
      </c>
      <c r="Z81" s="118">
        <f t="shared" si="310"/>
        <v>-2128.0526051856987</v>
      </c>
      <c r="AA81" s="118">
        <f t="shared" ref="AA81:AB81" si="311">AA22-AA23</f>
        <v>2930</v>
      </c>
      <c r="AB81" s="118">
        <f t="shared" si="311"/>
        <v>3444.5563515790072</v>
      </c>
      <c r="AC81" s="118">
        <f t="shared" ref="AC81:AD81" si="312">AC22-AC23</f>
        <v>7648.9965862312183</v>
      </c>
      <c r="AD81" s="118">
        <f t="shared" si="312"/>
        <v>4287.2458590373599</v>
      </c>
      <c r="AE81" s="118">
        <f t="shared" ref="AE81:AF81" si="313">AE22-AE23</f>
        <v>9494.8205269780046</v>
      </c>
      <c r="AF81" s="119">
        <f t="shared" si="313"/>
        <v>4107.3748404207163</v>
      </c>
      <c r="AG81" s="119">
        <f t="shared" ref="AG81:AH81" si="314">AG22-AG23</f>
        <v>3903.2421952622135</v>
      </c>
      <c r="AH81" s="119">
        <f t="shared" si="314"/>
        <v>5707.1672774304143</v>
      </c>
      <c r="AI81" s="119">
        <f t="shared" ref="AI81:AJ81" si="315">AI22-AI23</f>
        <v>4711</v>
      </c>
      <c r="AJ81" s="119">
        <f t="shared" si="315"/>
        <v>5568.4979407052087</v>
      </c>
      <c r="AK81" s="119">
        <f t="shared" ref="AK81:AL81" si="316">AK22-AK23</f>
        <v>10705.497668330001</v>
      </c>
      <c r="AL81" s="119">
        <f t="shared" si="316"/>
        <v>7546.7259396139998</v>
      </c>
      <c r="AM81" s="119">
        <f t="shared" ref="AM81:AO81" si="317">AM22-AM23</f>
        <v>6933.6222542089999</v>
      </c>
      <c r="AN81" s="119">
        <f t="shared" si="317"/>
        <v>9523.1755547880002</v>
      </c>
      <c r="AO81" s="119">
        <f t="shared" si="317"/>
        <v>7664.7280185560012</v>
      </c>
      <c r="AP81" s="119">
        <f t="shared" ref="AP81:AQ81" si="318">AP22-AP23</f>
        <v>7243.3816686339997</v>
      </c>
      <c r="AQ81" s="119">
        <f t="shared" si="318"/>
        <v>5350.7621655659968</v>
      </c>
      <c r="AR81" s="119">
        <f t="shared" ref="AR81:AS81" si="319">AR22-AR23</f>
        <v>9214.6660135620041</v>
      </c>
      <c r="AS81" s="119">
        <f t="shared" si="319"/>
        <v>8488.1606041119994</v>
      </c>
      <c r="AT81" s="119">
        <f t="shared" ref="AT81:AU81" si="320">AT22-AT23</f>
        <v>11598.415800641989</v>
      </c>
      <c r="AU81" s="119">
        <f t="shared" si="320"/>
        <v>16804.550291168009</v>
      </c>
      <c r="AV81" s="119">
        <f t="shared" ref="AV81:AW81" si="321">AV22-AV23</f>
        <v>13303.737909514006</v>
      </c>
      <c r="AW81" s="119">
        <f t="shared" si="321"/>
        <v>16978.764582061995</v>
      </c>
      <c r="AX81" s="119">
        <f t="shared" ref="AX81:AY81" si="322">AX22-AX23</f>
        <v>17386.629267354994</v>
      </c>
      <c r="AY81" s="119">
        <f t="shared" si="322"/>
        <v>15767.666599438016</v>
      </c>
      <c r="AZ81" s="119">
        <f t="shared" ref="AZ81:BA81" si="323">AZ22-AZ23</f>
        <v>29432.141197899993</v>
      </c>
      <c r="BA81" s="119">
        <f t="shared" si="323"/>
        <v>11843.720164017028</v>
      </c>
      <c r="BB81" s="119">
        <f t="shared" ref="BB81:BC81" si="324">BB22-BB23</f>
        <v>11639.140349186455</v>
      </c>
      <c r="BC81" s="119">
        <f t="shared" si="324"/>
        <v>13146.856554949125</v>
      </c>
      <c r="BD81" s="2"/>
      <c r="BE81" s="2"/>
    </row>
    <row r="82" spans="1:57" ht="15.7" thickBot="1">
      <c r="A82" s="2"/>
      <c r="B82" s="85"/>
      <c r="C82" s="85"/>
      <c r="D82" s="85"/>
      <c r="E82" s="85"/>
      <c r="F82" s="85"/>
      <c r="G82" s="85"/>
      <c r="H82" s="118"/>
      <c r="I82" s="118"/>
      <c r="J82" s="118"/>
      <c r="K82" s="118"/>
      <c r="L82" s="118"/>
      <c r="M82" s="118"/>
      <c r="N82" s="118"/>
      <c r="O82" s="118"/>
      <c r="P82" s="118"/>
      <c r="Q82" s="118"/>
      <c r="R82" s="118"/>
      <c r="S82" s="118"/>
      <c r="T82" s="118"/>
      <c r="U82" s="118"/>
      <c r="V82" s="118"/>
      <c r="W82" s="118"/>
      <c r="X82" s="118"/>
      <c r="Y82" s="118"/>
      <c r="Z82" s="118"/>
      <c r="AA82" s="118"/>
      <c r="AB82" s="118"/>
      <c r="AC82" s="118"/>
      <c r="AD82" s="118"/>
      <c r="AE82" s="118"/>
      <c r="AF82" s="119"/>
      <c r="AG82" s="119"/>
      <c r="AH82" s="119"/>
      <c r="AI82" s="119"/>
      <c r="AJ82" s="119"/>
      <c r="AK82" s="119"/>
      <c r="AL82" s="119"/>
      <c r="AM82" s="119"/>
      <c r="AN82" s="119"/>
      <c r="AO82" s="119"/>
      <c r="AP82" s="119"/>
      <c r="AQ82" s="119"/>
      <c r="AR82" s="119"/>
      <c r="AS82" s="119"/>
      <c r="AT82" s="119"/>
      <c r="AU82" s="119"/>
      <c r="AV82" s="119"/>
      <c r="AW82" s="119"/>
      <c r="AX82" s="119"/>
      <c r="AY82" s="119"/>
      <c r="AZ82" s="119"/>
      <c r="BA82" s="119"/>
      <c r="BB82" s="119"/>
      <c r="BC82" s="119"/>
      <c r="BD82" s="2"/>
      <c r="BE82" s="2"/>
    </row>
    <row r="83" spans="1:57" ht="15.7" thickBot="1">
      <c r="A83" s="2" t="s">
        <v>519</v>
      </c>
      <c r="B83" s="85"/>
      <c r="C83" s="85"/>
      <c r="D83" s="85"/>
      <c r="E83" s="85"/>
      <c r="F83" s="85"/>
      <c r="G83" s="85"/>
      <c r="H83" s="118">
        <f t="shared" ref="H83:Z83" si="325">H23</f>
        <v>0</v>
      </c>
      <c r="I83" s="118">
        <f t="shared" si="325"/>
        <v>0</v>
      </c>
      <c r="J83" s="118">
        <f t="shared" si="325"/>
        <v>255.40565363599308</v>
      </c>
      <c r="K83" s="118">
        <f t="shared" si="325"/>
        <v>738.68852181549846</v>
      </c>
      <c r="L83" s="118">
        <f t="shared" si="325"/>
        <v>-2450.1515890868832</v>
      </c>
      <c r="M83" s="118">
        <f t="shared" si="325"/>
        <v>-3616.4558196915514</v>
      </c>
      <c r="N83" s="118">
        <f t="shared" si="325"/>
        <v>-4623.7327360000054</v>
      </c>
      <c r="O83" s="118">
        <f t="shared" si="325"/>
        <v>-4155.3768779999846</v>
      </c>
      <c r="P83" s="118">
        <f t="shared" si="325"/>
        <v>-7079.1656840000014</v>
      </c>
      <c r="Q83" s="118">
        <f t="shared" si="325"/>
        <v>-13538.795801000084</v>
      </c>
      <c r="R83" s="118">
        <f t="shared" si="325"/>
        <v>-8777.2482110000019</v>
      </c>
      <c r="S83" s="118">
        <f t="shared" si="325"/>
        <v>-9589.3662259999983</v>
      </c>
      <c r="T83" s="118">
        <f t="shared" si="325"/>
        <v>-1300.3778437167111</v>
      </c>
      <c r="U83" s="118">
        <f t="shared" si="325"/>
        <v>-1238.4940907146438</v>
      </c>
      <c r="V83" s="118">
        <f t="shared" si="325"/>
        <v>-2472.2871007367685</v>
      </c>
      <c r="W83" s="118">
        <f t="shared" si="325"/>
        <v>-6158.3347454835521</v>
      </c>
      <c r="X83" s="219">
        <f t="shared" si="325"/>
        <v>-4069.7536981713838</v>
      </c>
      <c r="Y83" s="220">
        <f t="shared" si="325"/>
        <v>2702.6210289910582</v>
      </c>
      <c r="Z83" s="220">
        <f t="shared" si="325"/>
        <v>7166.2953012706939</v>
      </c>
      <c r="AA83" s="220">
        <f t="shared" ref="AA83:AB83" si="326">AA23</f>
        <v>5370</v>
      </c>
      <c r="AB83" s="220">
        <f t="shared" si="326"/>
        <v>7594.8582614169736</v>
      </c>
      <c r="AC83" s="220">
        <f t="shared" ref="AC83:AD83" si="327">AC23</f>
        <v>3558.967869929098</v>
      </c>
      <c r="AD83" s="220">
        <f t="shared" si="327"/>
        <v>7551.7358315167194</v>
      </c>
      <c r="AE83" s="220">
        <f t="shared" ref="AE83:AF83" si="328">AE23</f>
        <v>4052.9717454971687</v>
      </c>
      <c r="AF83" s="221">
        <f t="shared" si="328"/>
        <v>9506.401030951447</v>
      </c>
      <c r="AG83" s="221">
        <f t="shared" ref="AG83:AH83" si="329">AG23</f>
        <v>9203.4275112802243</v>
      </c>
      <c r="AH83" s="221">
        <f t="shared" si="329"/>
        <v>8054.8968585949979</v>
      </c>
      <c r="AI83" s="221">
        <f t="shared" ref="AI83:AJ83" si="330">AI23</f>
        <v>10633</v>
      </c>
      <c r="AJ83" s="221">
        <f t="shared" si="330"/>
        <v>11829.187863265332</v>
      </c>
      <c r="AK83" s="221">
        <f t="shared" ref="AK83:AL83" si="331">AK23</f>
        <v>6921.5072146920393</v>
      </c>
      <c r="AL83" s="221">
        <f t="shared" si="331"/>
        <v>8386.0428078699915</v>
      </c>
      <c r="AM83" s="221">
        <f t="shared" ref="AM83:AO83" si="332">AM23</f>
        <v>13018.606606826968</v>
      </c>
      <c r="AN83" s="221">
        <f t="shared" si="332"/>
        <v>13222.224953258998</v>
      </c>
      <c r="AO83" s="221">
        <f t="shared" si="332"/>
        <v>15662.350967222992</v>
      </c>
      <c r="AP83" s="221">
        <f t="shared" ref="AP83:AQ83" si="333">AP23</f>
        <v>18682.546486510004</v>
      </c>
      <c r="AQ83" s="221">
        <f t="shared" si="333"/>
        <v>22706.510644103968</v>
      </c>
      <c r="AR83" s="221">
        <f t="shared" ref="AR83:AS83" si="334">AR23</f>
        <v>21724.109257386008</v>
      </c>
      <c r="AS83" s="221">
        <f t="shared" si="334"/>
        <v>23175.390735781017</v>
      </c>
      <c r="AT83" s="221">
        <f t="shared" ref="AT83:AU83" si="335">AT23</f>
        <v>21208.855069253987</v>
      </c>
      <c r="AU83" s="221">
        <f t="shared" si="335"/>
        <v>18864.608449846986</v>
      </c>
      <c r="AV83" s="221">
        <f t="shared" ref="AV83:AW83" si="336">AV23</f>
        <v>23370.301025781853</v>
      </c>
      <c r="AW83" s="221">
        <f t="shared" si="336"/>
        <v>19125.719918827155</v>
      </c>
      <c r="AX83" s="221">
        <f t="shared" ref="AX83:AY83" si="337">AX23</f>
        <v>20530.322154781974</v>
      </c>
      <c r="AY83" s="221">
        <f t="shared" si="337"/>
        <v>19130.515209532088</v>
      </c>
      <c r="AZ83" s="221">
        <f t="shared" ref="AZ83:BA83" si="338">AZ23</f>
        <v>4568.745106986029</v>
      </c>
      <c r="BA83" s="221">
        <f t="shared" si="338"/>
        <v>16967.173169438905</v>
      </c>
      <c r="BB83" s="221">
        <f t="shared" ref="BB83:BC83" si="339">BB23</f>
        <v>16293.722708280256</v>
      </c>
      <c r="BC83" s="221">
        <f t="shared" si="339"/>
        <v>17871.099553270149</v>
      </c>
      <c r="BD83" s="2"/>
      <c r="BE83" s="2"/>
    </row>
    <row r="84" spans="1:57">
      <c r="A84" s="2" t="s">
        <v>518</v>
      </c>
      <c r="B84" s="85"/>
      <c r="C84" s="85"/>
      <c r="D84" s="85"/>
      <c r="E84" s="85"/>
      <c r="F84" s="85"/>
      <c r="G84" s="85"/>
      <c r="H84" s="113">
        <f t="shared" ref="H84:Z84" si="340">H23-H24</f>
        <v>0</v>
      </c>
      <c r="I84" s="113">
        <f t="shared" si="340"/>
        <v>0</v>
      </c>
      <c r="J84" s="113">
        <f t="shared" si="340"/>
        <v>3244.1242229100003</v>
      </c>
      <c r="K84" s="113">
        <f t="shared" si="340"/>
        <v>3622.8433244999992</v>
      </c>
      <c r="L84" s="113">
        <f t="shared" si="340"/>
        <v>3347.6403840687999</v>
      </c>
      <c r="M84" s="113">
        <f t="shared" si="340"/>
        <v>2836.7085005904455</v>
      </c>
      <c r="N84" s="113">
        <f t="shared" si="340"/>
        <v>3575.7794039999972</v>
      </c>
      <c r="O84" s="113">
        <f t="shared" si="340"/>
        <v>3380.3737150000034</v>
      </c>
      <c r="P84" s="113">
        <f t="shared" si="340"/>
        <v>1280.1471140000012</v>
      </c>
      <c r="Q84" s="113">
        <f t="shared" si="340"/>
        <v>-2149.9915230000042</v>
      </c>
      <c r="R84" s="113">
        <f t="shared" si="340"/>
        <v>990.38731899999948</v>
      </c>
      <c r="S84" s="113">
        <f t="shared" si="340"/>
        <v>1436.774965999999</v>
      </c>
      <c r="T84" s="113">
        <f t="shared" si="340"/>
        <v>3569.8384930000029</v>
      </c>
      <c r="U84" s="113">
        <f t="shared" si="340"/>
        <v>2600.7632659999986</v>
      </c>
      <c r="V84" s="113">
        <f t="shared" si="340"/>
        <v>2731.714199</v>
      </c>
      <c r="W84" s="113">
        <f t="shared" si="340"/>
        <v>-59.354140007999376</v>
      </c>
      <c r="X84" s="113">
        <f t="shared" si="340"/>
        <v>2134.5786735659995</v>
      </c>
      <c r="Y84" s="113">
        <f t="shared" si="340"/>
        <v>2343.7912996010014</v>
      </c>
      <c r="Z84" s="113">
        <f t="shared" si="340"/>
        <v>3810.1399410100003</v>
      </c>
      <c r="AA84" s="113">
        <f t="shared" ref="AA84:AB84" si="341">AA23-AA24</f>
        <v>2303</v>
      </c>
      <c r="AB84" s="113">
        <f t="shared" si="341"/>
        <v>1713.2735460740005</v>
      </c>
      <c r="AC84" s="181">
        <f t="shared" ref="AC84:AD84" si="342">AC23-AC24</f>
        <v>-5088.032130070902</v>
      </c>
      <c r="AD84" s="181">
        <f t="shared" si="342"/>
        <v>3612.850867403251</v>
      </c>
      <c r="AE84" s="181">
        <f t="shared" ref="AE84:AF84" si="343">AE23-AE24</f>
        <v>1207.9717454971687</v>
      </c>
      <c r="AF84" s="190">
        <f t="shared" si="343"/>
        <v>7251.3448367515266</v>
      </c>
      <c r="AG84" s="190">
        <f t="shared" ref="AG84:AH84" si="344">AG23-AG24</f>
        <v>4861.6047542458591</v>
      </c>
      <c r="AH84" s="190">
        <f t="shared" si="344"/>
        <v>5130.7668518016571</v>
      </c>
      <c r="AI84" s="190">
        <f t="shared" ref="AI84:AJ84" si="345">AI23-AI24</f>
        <v>7585</v>
      </c>
      <c r="AJ84" s="190">
        <f t="shared" si="345"/>
        <v>9366.6514552183362</v>
      </c>
      <c r="AK84" s="190">
        <f t="shared" ref="AK84:AL84" si="346">AK23-AK24</f>
        <v>4214.5072146920393</v>
      </c>
      <c r="AL84" s="190">
        <f t="shared" si="346"/>
        <v>6210.2787311507418</v>
      </c>
      <c r="AM84" s="190">
        <f t="shared" ref="AM84:AO84" si="347">AM23-AM24</f>
        <v>9359.2222772142177</v>
      </c>
      <c r="AN84" s="190">
        <f t="shared" si="347"/>
        <v>10205.45549792</v>
      </c>
      <c r="AO84" s="190">
        <f t="shared" si="347"/>
        <v>10743.100952881003</v>
      </c>
      <c r="AP84" s="190">
        <f t="shared" ref="AP84:AQ84" si="348">AP23-AP24</f>
        <v>13721.949985421001</v>
      </c>
      <c r="AQ84" s="190">
        <f t="shared" si="348"/>
        <v>16128.558177182998</v>
      </c>
      <c r="AR84" s="190">
        <f t="shared" ref="AR84:AS84" si="349">AR23-AR24</f>
        <v>15497.037001563</v>
      </c>
      <c r="AS84" s="190">
        <f t="shared" si="349"/>
        <v>16006.226543364002</v>
      </c>
      <c r="AT84" s="190">
        <f t="shared" ref="AT84:AU84" si="350">AT23-AT24</f>
        <v>15088.445094963998</v>
      </c>
      <c r="AU84" s="190">
        <f t="shared" si="350"/>
        <v>14039.608449846986</v>
      </c>
      <c r="AV84" s="190">
        <f t="shared" ref="AV84:AW84" si="351">AV23-AV24</f>
        <v>16446.233709046006</v>
      </c>
      <c r="AW84" s="190">
        <f t="shared" si="351"/>
        <v>14271.719918827155</v>
      </c>
      <c r="AX84" s="190">
        <f t="shared" ref="AX84:AY84" si="352">AX23-AX24</f>
        <v>13787.837580961002</v>
      </c>
      <c r="AY84" s="190">
        <f t="shared" si="352"/>
        <v>13801.698118389997</v>
      </c>
      <c r="AZ84" s="190">
        <f t="shared" ref="AZ84:BA84" si="353">AZ23-AZ24</f>
        <v>4492.7807727830077</v>
      </c>
      <c r="BA84" s="190">
        <f t="shared" si="353"/>
        <v>11647.065163880992</v>
      </c>
      <c r="BB84" s="190">
        <f t="shared" ref="BB84:BC84" si="354">BB23-BB24</f>
        <v>12276.848353492845</v>
      </c>
      <c r="BC84" s="190">
        <f t="shared" si="354"/>
        <v>13317.569034148373</v>
      </c>
      <c r="BD84" s="2"/>
      <c r="BE84" s="2"/>
    </row>
    <row r="85" spans="1:57">
      <c r="A85" s="2"/>
      <c r="B85" s="85"/>
      <c r="C85" s="85"/>
      <c r="D85" s="85"/>
      <c r="E85" s="85"/>
      <c r="F85" s="85"/>
      <c r="G85" s="85"/>
      <c r="H85" s="85"/>
      <c r="I85" s="85"/>
      <c r="J85" s="85"/>
      <c r="K85" s="85"/>
      <c r="L85" s="85"/>
      <c r="M85" s="85"/>
      <c r="N85" s="85"/>
      <c r="O85" s="85"/>
      <c r="P85" s="85"/>
      <c r="Q85" s="85"/>
      <c r="R85" s="85"/>
      <c r="S85" s="85"/>
      <c r="T85" s="85"/>
      <c r="U85" s="85"/>
      <c r="V85" s="85"/>
      <c r="W85" s="85"/>
      <c r="X85" s="85"/>
      <c r="Y85" s="85"/>
      <c r="Z85" s="85"/>
      <c r="AA85" s="85"/>
      <c r="AB85" s="85"/>
      <c r="AC85" s="85"/>
      <c r="AD85" s="85"/>
      <c r="AE85" s="85"/>
      <c r="AF85" s="111"/>
      <c r="AG85" s="111"/>
      <c r="AH85" s="111"/>
      <c r="AI85" s="111"/>
      <c r="AJ85" s="111"/>
      <c r="AK85" s="111"/>
      <c r="AL85" s="111"/>
      <c r="AM85" s="111"/>
      <c r="AN85" s="111"/>
      <c r="AO85" s="111"/>
      <c r="AP85" s="111"/>
      <c r="AQ85" s="111"/>
      <c r="AR85" s="111"/>
      <c r="AS85" s="111"/>
      <c r="AT85" s="111"/>
      <c r="AU85" s="111"/>
      <c r="AV85" s="111"/>
      <c r="AW85" s="111"/>
      <c r="AX85" s="111"/>
      <c r="AY85" s="111"/>
      <c r="AZ85" s="111"/>
      <c r="BA85" s="111"/>
      <c r="BB85" s="111"/>
      <c r="BC85" s="111"/>
      <c r="BD85" s="2"/>
      <c r="BE85" s="2"/>
    </row>
    <row r="86" spans="1:57">
      <c r="A86" s="2"/>
      <c r="B86" s="85"/>
      <c r="C86" s="85"/>
      <c r="D86" s="85"/>
      <c r="E86" s="85"/>
      <c r="F86" s="85"/>
      <c r="G86" s="85"/>
      <c r="H86" s="85"/>
      <c r="I86" s="85"/>
      <c r="J86" s="85"/>
      <c r="K86" s="85"/>
      <c r="L86" s="85"/>
      <c r="M86" s="85"/>
      <c r="N86" s="85"/>
      <c r="O86" s="85"/>
      <c r="P86" s="85"/>
      <c r="Q86" s="85"/>
      <c r="R86" s="85"/>
      <c r="S86" s="85"/>
      <c r="T86" s="85"/>
      <c r="U86" s="85"/>
      <c r="V86" s="85"/>
      <c r="W86" s="85"/>
      <c r="X86" s="85"/>
      <c r="Y86" s="85"/>
      <c r="Z86" s="85"/>
      <c r="AA86" s="85"/>
      <c r="AB86" s="85"/>
      <c r="AC86" s="85"/>
      <c r="AD86" s="85"/>
      <c r="AE86" s="85"/>
      <c r="AF86" s="111"/>
      <c r="AG86" s="111"/>
      <c r="AH86" s="111"/>
      <c r="AI86" s="111"/>
      <c r="AJ86" s="111"/>
      <c r="AK86" s="111"/>
      <c r="AL86" s="111"/>
      <c r="AM86" s="111"/>
      <c r="AN86" s="111"/>
      <c r="AO86" s="111"/>
      <c r="AP86" s="111"/>
      <c r="AQ86" s="111"/>
      <c r="AR86" s="111"/>
      <c r="AS86" s="111"/>
      <c r="AT86" s="111"/>
      <c r="AU86" s="111"/>
      <c r="AV86" s="111"/>
      <c r="AW86" s="111"/>
      <c r="AX86" s="111"/>
      <c r="AY86" s="111"/>
      <c r="AZ86" s="111"/>
      <c r="BA86" s="111"/>
      <c r="BB86" s="111"/>
      <c r="BC86" s="111"/>
      <c r="BD86" s="2"/>
      <c r="BE86" s="2"/>
    </row>
    <row r="87" spans="1:57">
      <c r="A87" s="2"/>
      <c r="B87" s="85"/>
      <c r="C87" s="85"/>
      <c r="D87" s="85"/>
      <c r="E87" s="85"/>
      <c r="F87" s="85"/>
      <c r="G87" s="85"/>
      <c r="H87" s="85"/>
      <c r="I87" s="85"/>
      <c r="J87" s="85"/>
      <c r="K87" s="85"/>
      <c r="L87" s="85"/>
      <c r="M87" s="85"/>
      <c r="N87" s="85"/>
      <c r="O87" s="85"/>
      <c r="P87" s="85"/>
      <c r="Q87" s="85"/>
      <c r="R87" s="85"/>
      <c r="S87" s="85"/>
      <c r="T87" s="85"/>
      <c r="U87" s="85"/>
      <c r="V87" s="85"/>
      <c r="W87" s="85"/>
      <c r="X87" s="85"/>
      <c r="Y87" s="85"/>
      <c r="Z87" s="85"/>
      <c r="AA87" s="85"/>
      <c r="AB87" s="85"/>
      <c r="AC87" s="85"/>
      <c r="AD87" s="85"/>
      <c r="AE87" s="85"/>
      <c r="AF87" s="111"/>
      <c r="AG87" s="111"/>
      <c r="AH87" s="111"/>
      <c r="AI87" s="111"/>
      <c r="AJ87" s="111"/>
      <c r="AK87" s="111"/>
      <c r="AL87" s="111"/>
      <c r="AM87" s="111"/>
      <c r="AN87" s="111"/>
      <c r="AO87" s="111"/>
      <c r="AP87" s="111"/>
      <c r="AQ87" s="111"/>
      <c r="AR87" s="111"/>
      <c r="AS87" s="111"/>
      <c r="AT87" s="111"/>
      <c r="AU87" s="111"/>
      <c r="AV87" s="111"/>
      <c r="AW87" s="111"/>
      <c r="AX87" s="111"/>
      <c r="AY87" s="111"/>
      <c r="AZ87" s="111"/>
      <c r="BA87" s="111"/>
      <c r="BB87" s="111"/>
      <c r="BC87" s="111"/>
      <c r="BD87" s="2"/>
      <c r="BE87" s="2"/>
    </row>
    <row r="88" spans="1:57">
      <c r="A88" s="2" t="s">
        <v>766</v>
      </c>
      <c r="B88" s="85"/>
      <c r="C88" s="85"/>
      <c r="D88" s="85"/>
      <c r="E88" s="85"/>
      <c r="F88" s="118">
        <f t="shared" ref="F88:Z88" si="355">F18</f>
        <v>57564</v>
      </c>
      <c r="G88" s="118">
        <f t="shared" si="355"/>
        <v>59786.5</v>
      </c>
      <c r="H88" s="118">
        <f t="shared" si="355"/>
        <v>62315</v>
      </c>
      <c r="I88" s="118">
        <f t="shared" si="355"/>
        <v>61600</v>
      </c>
      <c r="J88" s="118">
        <f t="shared" si="355"/>
        <v>59309.192983000001</v>
      </c>
      <c r="K88" s="118">
        <f t="shared" si="355"/>
        <v>70257.822891999997</v>
      </c>
      <c r="L88" s="118">
        <f t="shared" si="355"/>
        <v>72298.029452000002</v>
      </c>
      <c r="M88" s="118">
        <f t="shared" si="355"/>
        <v>70623.199313000005</v>
      </c>
      <c r="N88" s="118">
        <f t="shared" si="355"/>
        <v>69685.361741000001</v>
      </c>
      <c r="O88" s="118">
        <f t="shared" si="355"/>
        <v>68956.352278999984</v>
      </c>
      <c r="P88" s="118">
        <f t="shared" si="355"/>
        <v>68275.648936999991</v>
      </c>
      <c r="Q88" s="118">
        <f t="shared" si="355"/>
        <v>62152.525951999996</v>
      </c>
      <c r="R88" s="118">
        <f t="shared" si="355"/>
        <v>61594.534071000002</v>
      </c>
      <c r="S88" s="118">
        <f t="shared" si="355"/>
        <v>62721.312334999995</v>
      </c>
      <c r="T88" s="118">
        <f t="shared" si="355"/>
        <v>62505.601766000007</v>
      </c>
      <c r="U88" s="118">
        <f t="shared" si="355"/>
        <v>64511.019396999996</v>
      </c>
      <c r="V88" s="118">
        <f t="shared" si="355"/>
        <v>62493.492789999997</v>
      </c>
      <c r="W88" s="118">
        <f t="shared" si="355"/>
        <v>53047.696293542009</v>
      </c>
      <c r="X88" s="118">
        <f t="shared" si="355"/>
        <v>53558.667512548964</v>
      </c>
      <c r="Y88" s="118">
        <f t="shared" si="355"/>
        <v>50468.039745782029</v>
      </c>
      <c r="Z88" s="118">
        <f t="shared" si="355"/>
        <v>48528.016530169989</v>
      </c>
      <c r="AA88" s="118">
        <f t="shared" ref="AA88:AB88" si="356">AA18</f>
        <v>52030</v>
      </c>
      <c r="AB88" s="118">
        <f t="shared" si="356"/>
        <v>51293.39205105498</v>
      </c>
      <c r="AC88" s="118">
        <f t="shared" ref="AC88:AD88" si="357">AC18</f>
        <v>47313.9294661768</v>
      </c>
      <c r="AD88" s="118">
        <f t="shared" si="357"/>
        <v>50033.253772959797</v>
      </c>
      <c r="AE88" s="118">
        <f t="shared" ref="AE88:AF88" si="358">AE18</f>
        <v>53724.789620589399</v>
      </c>
      <c r="AF88" s="119">
        <f t="shared" si="358"/>
        <v>56153.530464902702</v>
      </c>
      <c r="AG88" s="119">
        <f t="shared" ref="AG88:AH88" si="359">AG18</f>
        <v>55114.726907413387</v>
      </c>
      <c r="AH88" s="119">
        <f t="shared" si="359"/>
        <v>55433.089851472148</v>
      </c>
      <c r="AI88" s="119">
        <f t="shared" ref="AI88:AJ88" si="360">AI18</f>
        <v>59157</v>
      </c>
      <c r="AJ88" s="119">
        <f t="shared" si="360"/>
        <v>62692.392380003388</v>
      </c>
      <c r="AK88" s="119">
        <f t="shared" ref="AK88:AL88" si="361">AK18</f>
        <v>64888.432813095009</v>
      </c>
      <c r="AL88" s="119">
        <f t="shared" si="361"/>
        <v>64512.787317906987</v>
      </c>
      <c r="AM88" s="119">
        <f t="shared" ref="AM88:AO88" si="362">AM18</f>
        <v>71660.353665636983</v>
      </c>
      <c r="AN88" s="119">
        <f t="shared" si="362"/>
        <v>76441.540934315999</v>
      </c>
      <c r="AO88" s="119">
        <f t="shared" si="362"/>
        <v>76017.490857259982</v>
      </c>
      <c r="AP88" s="119">
        <f t="shared" ref="AP88:AQ88" si="363">AP18</f>
        <v>81773.153924568993</v>
      </c>
      <c r="AQ88" s="119">
        <f t="shared" si="363"/>
        <v>85915.677568233965</v>
      </c>
      <c r="AR88" s="119">
        <f t="shared" ref="AR88:AS88" si="364">AR18</f>
        <v>91053</v>
      </c>
      <c r="AS88" s="119">
        <f t="shared" si="364"/>
        <v>91871.379550050056</v>
      </c>
      <c r="AT88" s="119">
        <f t="shared" ref="AT88:AU88" si="365">AT18</f>
        <v>97020.754476614995</v>
      </c>
      <c r="AU88" s="119">
        <f t="shared" si="365"/>
        <v>104451.814448598</v>
      </c>
      <c r="AV88" s="119">
        <f t="shared" ref="AV88:AW88" si="366">AV18</f>
        <v>110876.80381784689</v>
      </c>
      <c r="AW88" s="119">
        <f t="shared" si="366"/>
        <v>110314.79130590509</v>
      </c>
      <c r="AX88" s="119">
        <f t="shared" ref="AX88:AY88" si="367">AX18</f>
        <v>113168.47988314697</v>
      </c>
      <c r="AY88" s="119">
        <f t="shared" si="367"/>
        <v>102767.63975801811</v>
      </c>
      <c r="AZ88" s="119">
        <f t="shared" ref="AZ88:BA88" si="368">AZ18</f>
        <v>102972.35068890199</v>
      </c>
      <c r="BA88" s="119">
        <f t="shared" si="368"/>
        <v>92932.501927844976</v>
      </c>
      <c r="BB88" s="119">
        <f t="shared" ref="BB88:BC88" si="369">BB18</f>
        <v>96369.348685824254</v>
      </c>
      <c r="BC88" s="119">
        <f t="shared" si="369"/>
        <v>101631.1571631609</v>
      </c>
      <c r="BD88" s="2"/>
      <c r="BE88" s="2"/>
    </row>
    <row r="89" spans="1:57">
      <c r="A89" s="2" t="s">
        <v>763</v>
      </c>
      <c r="B89" s="85"/>
      <c r="C89" s="85"/>
      <c r="D89" s="85"/>
      <c r="E89" s="85"/>
      <c r="F89" s="118">
        <f t="shared" ref="F89:Z89" si="370">F20</f>
        <v>14850</v>
      </c>
      <c r="G89" s="118">
        <f t="shared" si="370"/>
        <v>16241</v>
      </c>
      <c r="H89" s="118">
        <f t="shared" si="370"/>
        <v>16500</v>
      </c>
      <c r="I89" s="118">
        <f t="shared" si="370"/>
        <v>15675</v>
      </c>
      <c r="J89" s="118">
        <f t="shared" si="370"/>
        <v>15898.915194000003</v>
      </c>
      <c r="K89" s="118">
        <f t="shared" si="370"/>
        <v>19004.457906000003</v>
      </c>
      <c r="L89" s="118">
        <f t="shared" si="370"/>
        <v>18652.376828000015</v>
      </c>
      <c r="M89" s="118">
        <f t="shared" si="370"/>
        <v>17849.892122999983</v>
      </c>
      <c r="N89" s="118">
        <f t="shared" si="370"/>
        <v>16957.623412000001</v>
      </c>
      <c r="O89" s="118">
        <f t="shared" si="370"/>
        <v>16309.51464400001</v>
      </c>
      <c r="P89" s="118">
        <f t="shared" si="370"/>
        <v>14953.149932999971</v>
      </c>
      <c r="Q89" s="118">
        <f t="shared" si="370"/>
        <v>12901.380716999978</v>
      </c>
      <c r="R89" s="118">
        <f t="shared" si="370"/>
        <v>12673.633989000004</v>
      </c>
      <c r="S89" s="118">
        <f t="shared" si="370"/>
        <v>12695.042388999989</v>
      </c>
      <c r="T89" s="118">
        <f t="shared" si="370"/>
        <v>13286.648837999986</v>
      </c>
      <c r="U89" s="118">
        <f t="shared" si="370"/>
        <v>14233.245731999988</v>
      </c>
      <c r="V89" s="118">
        <f t="shared" si="370"/>
        <v>13998.263753999992</v>
      </c>
      <c r="W89" s="118">
        <f t="shared" si="370"/>
        <v>12247.189157559995</v>
      </c>
      <c r="X89" s="118">
        <f t="shared" si="370"/>
        <v>12945.463315674973</v>
      </c>
      <c r="Y89" s="118">
        <f t="shared" si="370"/>
        <v>13065.317436425008</v>
      </c>
      <c r="Z89" s="118">
        <f t="shared" si="370"/>
        <v>13616.109291279994</v>
      </c>
      <c r="AA89" s="118">
        <f t="shared" ref="AA89:AB89" si="371">AA20</f>
        <v>16814</v>
      </c>
      <c r="AB89" s="118">
        <f t="shared" si="371"/>
        <v>18187.919616880979</v>
      </c>
      <c r="AC89" s="118">
        <f t="shared" ref="AC89:AD89" si="372">AC20</f>
        <v>17861.326660631566</v>
      </c>
      <c r="AD89" s="118">
        <f t="shared" si="372"/>
        <v>19220.899901304449</v>
      </c>
      <c r="AE89" s="118">
        <f t="shared" ref="AE89:AF89" si="373">AE20</f>
        <v>20934.255039373929</v>
      </c>
      <c r="AF89" s="119">
        <f t="shared" si="373"/>
        <v>21868.119607931985</v>
      </c>
      <c r="AG89" s="119">
        <f t="shared" ref="AG89:AH89" si="374">AG20</f>
        <v>21608.266769026875</v>
      </c>
      <c r="AH89" s="119">
        <f t="shared" si="374"/>
        <v>24205.991842561514</v>
      </c>
      <c r="AI89" s="119">
        <f t="shared" ref="AI89:AJ89" si="375">AI20</f>
        <v>26082</v>
      </c>
      <c r="AJ89" s="119">
        <f t="shared" si="375"/>
        <v>28330.852402844761</v>
      </c>
      <c r="AK89" s="119">
        <f t="shared" ref="AK89:AL89" si="376">AK20</f>
        <v>28640.351451533032</v>
      </c>
      <c r="AL89" s="119">
        <f t="shared" si="376"/>
        <v>28425.237581814989</v>
      </c>
      <c r="AM89" s="119">
        <f t="shared" ref="AM89:AO89" si="377">AM20</f>
        <v>32452.604396361967</v>
      </c>
      <c r="AN89" s="119">
        <f t="shared" si="377"/>
        <v>35852.111383891999</v>
      </c>
      <c r="AO89" s="119">
        <f t="shared" si="377"/>
        <v>36250.037016255985</v>
      </c>
      <c r="AP89" s="119">
        <f t="shared" ref="AP89:AQ89" si="378">AP20</f>
        <v>39272.835667117004</v>
      </c>
      <c r="AQ89" s="119">
        <f t="shared" si="378"/>
        <v>41743.257718275971</v>
      </c>
      <c r="AR89" s="119">
        <f t="shared" ref="AR89:AS89" si="379">AR20</f>
        <v>45189.595548540012</v>
      </c>
      <c r="AS89" s="119">
        <f t="shared" si="379"/>
        <v>45865.058372405023</v>
      </c>
      <c r="AT89" s="119">
        <f t="shared" ref="AT89:AU89" si="380">AT20</f>
        <v>47381.327488894975</v>
      </c>
      <c r="AU89" s="119">
        <f t="shared" si="380"/>
        <v>51251.757737889995</v>
      </c>
      <c r="AV89" s="119">
        <f t="shared" ref="AV89:AW89" si="381">AV20</f>
        <v>54467.657951169866</v>
      </c>
      <c r="AW89" s="119">
        <f t="shared" si="381"/>
        <v>54180.045980566138</v>
      </c>
      <c r="AX89" s="119">
        <f t="shared" ref="AX89:AY89" si="382">AX20</f>
        <v>56030.824992768969</v>
      </c>
      <c r="AY89" s="119">
        <f t="shared" si="382"/>
        <v>51157.696750332107</v>
      </c>
      <c r="AZ89" s="119">
        <f t="shared" ref="AZ89:BA89" si="383">AZ20</f>
        <v>50590.337462133022</v>
      </c>
      <c r="BA89" s="119">
        <f t="shared" si="383"/>
        <v>43236.906250850938</v>
      </c>
      <c r="BB89" s="119">
        <f t="shared" ref="BB89:BC89" si="384">BB20</f>
        <v>43616.529097564257</v>
      </c>
      <c r="BC89" s="119">
        <f t="shared" si="384"/>
        <v>47258.500766475518</v>
      </c>
      <c r="BD89" s="2"/>
      <c r="BE89" s="2"/>
    </row>
    <row r="90" spans="1:57">
      <c r="A90" s="2" t="s">
        <v>767</v>
      </c>
      <c r="B90" s="85"/>
      <c r="C90" s="85"/>
      <c r="D90" s="85"/>
      <c r="E90" s="85"/>
      <c r="F90" s="118">
        <f t="shared" ref="F90:Z90" si="385">F22</f>
        <v>0</v>
      </c>
      <c r="G90" s="118">
        <f t="shared" si="385"/>
        <v>4360</v>
      </c>
      <c r="H90" s="118">
        <f t="shared" si="385"/>
        <v>4400</v>
      </c>
      <c r="I90" s="118">
        <f t="shared" si="385"/>
        <v>3410</v>
      </c>
      <c r="J90" s="118">
        <f t="shared" si="385"/>
        <v>3664.072370999997</v>
      </c>
      <c r="K90" s="118">
        <f t="shared" si="385"/>
        <v>4793.426233000002</v>
      </c>
      <c r="L90" s="118">
        <f t="shared" si="385"/>
        <v>4779.2630290000234</v>
      </c>
      <c r="M90" s="118">
        <f t="shared" si="385"/>
        <v>3903.7432909999784</v>
      </c>
      <c r="N90" s="118">
        <f t="shared" si="385"/>
        <v>2797.131482999996</v>
      </c>
      <c r="O90" s="118">
        <f t="shared" si="385"/>
        <v>3841.9061810000126</v>
      </c>
      <c r="P90" s="118">
        <f t="shared" si="385"/>
        <v>3194.5146659999987</v>
      </c>
      <c r="Q90" s="118">
        <f t="shared" si="385"/>
        <v>1947.2036149999253</v>
      </c>
      <c r="R90" s="118">
        <f t="shared" si="385"/>
        <v>760.63715499999739</v>
      </c>
      <c r="S90" s="118">
        <f t="shared" si="385"/>
        <v>1216.0830410000019</v>
      </c>
      <c r="T90" s="118">
        <f t="shared" si="385"/>
        <v>1946.8141519999845</v>
      </c>
      <c r="U90" s="118">
        <f t="shared" si="385"/>
        <v>985.58603299998867</v>
      </c>
      <c r="V90" s="118">
        <f t="shared" si="385"/>
        <v>1975.0419529999926</v>
      </c>
      <c r="W90" s="118">
        <f t="shared" si="385"/>
        <v>1103.2685090209889</v>
      </c>
      <c r="X90" s="118">
        <f t="shared" si="385"/>
        <v>3180.3276971619762</v>
      </c>
      <c r="Y90" s="118">
        <f t="shared" si="385"/>
        <v>3930.5067332720155</v>
      </c>
      <c r="Z90" s="118">
        <f t="shared" si="385"/>
        <v>5038.2426960849953</v>
      </c>
      <c r="AA90" s="118">
        <f t="shared" ref="AA90:AB90" si="386">AA22</f>
        <v>8300</v>
      </c>
      <c r="AB90" s="118">
        <f t="shared" si="386"/>
        <v>11039.414612995981</v>
      </c>
      <c r="AC90" s="118">
        <f t="shared" ref="AC90:AD90" si="387">AC22</f>
        <v>11207.964456160316</v>
      </c>
      <c r="AD90" s="118">
        <f t="shared" si="387"/>
        <v>11838.981690554079</v>
      </c>
      <c r="AE90" s="118">
        <f t="shared" ref="AE90:AF90" si="388">AE22</f>
        <v>13547.792272475173</v>
      </c>
      <c r="AF90" s="119">
        <f t="shared" si="388"/>
        <v>13613.775871372163</v>
      </c>
      <c r="AG90" s="119">
        <f t="shared" ref="AG90:AH90" si="389">AG22</f>
        <v>13106.669706542438</v>
      </c>
      <c r="AH90" s="119">
        <f t="shared" si="389"/>
        <v>13762.064136025412</v>
      </c>
      <c r="AI90" s="119">
        <f t="shared" ref="AI90:AJ90" si="390">AI22</f>
        <v>15344</v>
      </c>
      <c r="AJ90" s="119">
        <f t="shared" si="390"/>
        <v>17397.68580397054</v>
      </c>
      <c r="AK90" s="119">
        <f t="shared" ref="AK90:AL90" si="391">AK22</f>
        <v>17627.00488302204</v>
      </c>
      <c r="AL90" s="119">
        <f t="shared" si="391"/>
        <v>15932.768747483991</v>
      </c>
      <c r="AM90" s="119">
        <f t="shared" ref="AM90:AO90" si="392">AM22</f>
        <v>19952.228861035968</v>
      </c>
      <c r="AN90" s="119">
        <f t="shared" si="392"/>
        <v>22745.400508046998</v>
      </c>
      <c r="AO90" s="119">
        <f t="shared" si="392"/>
        <v>23327.078985778993</v>
      </c>
      <c r="AP90" s="119">
        <f t="shared" ref="AP90:AQ90" si="393">AP22</f>
        <v>25925.928155144004</v>
      </c>
      <c r="AQ90" s="119">
        <f t="shared" si="393"/>
        <v>28057.272809669965</v>
      </c>
      <c r="AR90" s="119">
        <f t="shared" ref="AR90:AS90" si="394">AR22</f>
        <v>30938.775270948012</v>
      </c>
      <c r="AS90" s="119">
        <f t="shared" si="394"/>
        <v>31663.551339893016</v>
      </c>
      <c r="AT90" s="119">
        <f t="shared" ref="AT90:AU90" si="395">AT22</f>
        <v>32807.270869895976</v>
      </c>
      <c r="AU90" s="119">
        <f t="shared" si="395"/>
        <v>35669.158741014995</v>
      </c>
      <c r="AV90" s="119">
        <f t="shared" ref="AV90:AW90" si="396">AV22</f>
        <v>36674.038935295859</v>
      </c>
      <c r="AW90" s="119">
        <f t="shared" si="396"/>
        <v>36104.48450088915</v>
      </c>
      <c r="AX90" s="119">
        <f t="shared" ref="AX90:AY90" si="397">AX22</f>
        <v>37916.951422136968</v>
      </c>
      <c r="AY90" s="119">
        <f t="shared" si="397"/>
        <v>34898.181808970105</v>
      </c>
      <c r="AZ90" s="119">
        <f t="shared" ref="AZ90:BA90" si="398">AZ22</f>
        <v>34000.886304886022</v>
      </c>
      <c r="BA90" s="119">
        <f t="shared" si="398"/>
        <v>28810.893333455933</v>
      </c>
      <c r="BB90" s="119">
        <f t="shared" ref="BB90:BC90" si="399">BB22</f>
        <v>27932.863057466711</v>
      </c>
      <c r="BC90" s="119">
        <f t="shared" si="399"/>
        <v>31017.956108219274</v>
      </c>
      <c r="BD90" s="2"/>
      <c r="BE90" s="2"/>
    </row>
    <row r="91" spans="1:57">
      <c r="A91" s="2" t="s">
        <v>768</v>
      </c>
      <c r="B91" s="85"/>
      <c r="C91" s="85"/>
      <c r="D91" s="85"/>
      <c r="E91" s="85"/>
      <c r="F91" s="118">
        <f t="shared" ref="F91:Z91" si="400">F23</f>
        <v>0</v>
      </c>
      <c r="G91" s="118">
        <f t="shared" si="400"/>
        <v>0</v>
      </c>
      <c r="H91" s="118">
        <f t="shared" si="400"/>
        <v>0</v>
      </c>
      <c r="I91" s="118">
        <f t="shared" si="400"/>
        <v>0</v>
      </c>
      <c r="J91" s="118">
        <f t="shared" si="400"/>
        <v>255.40565363599308</v>
      </c>
      <c r="K91" s="118">
        <f t="shared" si="400"/>
        <v>738.68852181549846</v>
      </c>
      <c r="L91" s="118">
        <f t="shared" si="400"/>
        <v>-2450.1515890868832</v>
      </c>
      <c r="M91" s="118">
        <f t="shared" si="400"/>
        <v>-3616.4558196915514</v>
      </c>
      <c r="N91" s="118">
        <f t="shared" si="400"/>
        <v>-4623.7327360000054</v>
      </c>
      <c r="O91" s="118">
        <f t="shared" si="400"/>
        <v>-4155.3768779999846</v>
      </c>
      <c r="P91" s="118">
        <f t="shared" si="400"/>
        <v>-7079.1656840000014</v>
      </c>
      <c r="Q91" s="118">
        <f t="shared" si="400"/>
        <v>-13538.795801000084</v>
      </c>
      <c r="R91" s="118">
        <f t="shared" si="400"/>
        <v>-8777.2482110000019</v>
      </c>
      <c r="S91" s="118">
        <f t="shared" si="400"/>
        <v>-9589.3662259999983</v>
      </c>
      <c r="T91" s="118">
        <f t="shared" si="400"/>
        <v>-1300.3778437167111</v>
      </c>
      <c r="U91" s="118">
        <f t="shared" si="400"/>
        <v>-1238.4940907146438</v>
      </c>
      <c r="V91" s="118">
        <f t="shared" si="400"/>
        <v>-2472.2871007367685</v>
      </c>
      <c r="W91" s="118">
        <f t="shared" si="400"/>
        <v>-6158.3347454835521</v>
      </c>
      <c r="X91" s="118">
        <f t="shared" si="400"/>
        <v>-4069.7536981713838</v>
      </c>
      <c r="Y91" s="118">
        <f t="shared" si="400"/>
        <v>2702.6210289910582</v>
      </c>
      <c r="Z91" s="118">
        <f t="shared" si="400"/>
        <v>7166.2953012706939</v>
      </c>
      <c r="AA91" s="118">
        <f t="shared" ref="AA91:AB91" si="401">AA23</f>
        <v>5370</v>
      </c>
      <c r="AB91" s="118">
        <f t="shared" si="401"/>
        <v>7594.8582614169736</v>
      </c>
      <c r="AC91" s="118">
        <f t="shared" ref="AC91:AD91" si="402">AC23</f>
        <v>3558.967869929098</v>
      </c>
      <c r="AD91" s="118">
        <f t="shared" si="402"/>
        <v>7551.7358315167194</v>
      </c>
      <c r="AE91" s="118">
        <f t="shared" ref="AE91:AF91" si="403">AE23</f>
        <v>4052.9717454971687</v>
      </c>
      <c r="AF91" s="119">
        <f t="shared" si="403"/>
        <v>9506.401030951447</v>
      </c>
      <c r="AG91" s="119">
        <f t="shared" ref="AG91:AH91" si="404">AG23</f>
        <v>9203.4275112802243</v>
      </c>
      <c r="AH91" s="119">
        <f t="shared" si="404"/>
        <v>8054.8968585949979</v>
      </c>
      <c r="AI91" s="119">
        <f t="shared" ref="AI91:AJ91" si="405">AI23</f>
        <v>10633</v>
      </c>
      <c r="AJ91" s="119">
        <f t="shared" si="405"/>
        <v>11829.187863265332</v>
      </c>
      <c r="AK91" s="119">
        <f t="shared" ref="AK91:AL91" si="406">AK23</f>
        <v>6921.5072146920393</v>
      </c>
      <c r="AL91" s="119">
        <f t="shared" si="406"/>
        <v>8386.0428078699915</v>
      </c>
      <c r="AM91" s="119">
        <f t="shared" ref="AM91:AO91" si="407">AM23</f>
        <v>13018.606606826968</v>
      </c>
      <c r="AN91" s="119">
        <f t="shared" si="407"/>
        <v>13222.224953258998</v>
      </c>
      <c r="AO91" s="119">
        <f t="shared" si="407"/>
        <v>15662.350967222992</v>
      </c>
      <c r="AP91" s="119">
        <f t="shared" ref="AP91:AQ91" si="408">AP23</f>
        <v>18682.546486510004</v>
      </c>
      <c r="AQ91" s="119">
        <f t="shared" si="408"/>
        <v>22706.510644103968</v>
      </c>
      <c r="AR91" s="119">
        <f t="shared" ref="AR91:AS91" si="409">AR23</f>
        <v>21724.109257386008</v>
      </c>
      <c r="AS91" s="119">
        <f t="shared" si="409"/>
        <v>23175.390735781017</v>
      </c>
      <c r="AT91" s="119">
        <f t="shared" ref="AT91:AU91" si="410">AT23</f>
        <v>21208.855069253987</v>
      </c>
      <c r="AU91" s="119">
        <f t="shared" si="410"/>
        <v>18864.608449846986</v>
      </c>
      <c r="AV91" s="119">
        <f t="shared" ref="AV91:AW91" si="411">AV23</f>
        <v>23370.301025781853</v>
      </c>
      <c r="AW91" s="119">
        <f t="shared" si="411"/>
        <v>19125.719918827155</v>
      </c>
      <c r="AX91" s="119">
        <f t="shared" ref="AX91:AY91" si="412">AX23</f>
        <v>20530.322154781974</v>
      </c>
      <c r="AY91" s="119">
        <f t="shared" si="412"/>
        <v>19130.515209532088</v>
      </c>
      <c r="AZ91" s="119">
        <f t="shared" ref="AZ91:BA91" si="413">AZ23</f>
        <v>4568.745106986029</v>
      </c>
      <c r="BA91" s="119">
        <f t="shared" si="413"/>
        <v>16967.173169438905</v>
      </c>
      <c r="BB91" s="119">
        <f t="shared" ref="BB91:BC91" si="414">BB23</f>
        <v>16293.722708280256</v>
      </c>
      <c r="BC91" s="119">
        <f t="shared" si="414"/>
        <v>17871.099553270149</v>
      </c>
      <c r="BD91" s="2"/>
      <c r="BE91" s="2"/>
    </row>
    <row r="92" spans="1:57">
      <c r="A92" s="2" t="s">
        <v>769</v>
      </c>
      <c r="B92" s="85"/>
      <c r="C92" s="85"/>
      <c r="D92" s="85"/>
      <c r="E92" s="85"/>
      <c r="F92" s="118">
        <f t="shared" ref="F92:Z92" si="415">F24</f>
        <v>0</v>
      </c>
      <c r="G92" s="118">
        <f t="shared" si="415"/>
        <v>0</v>
      </c>
      <c r="H92" s="118">
        <f t="shared" si="415"/>
        <v>0</v>
      </c>
      <c r="I92" s="118">
        <f t="shared" si="415"/>
        <v>0</v>
      </c>
      <c r="J92" s="118">
        <f t="shared" si="415"/>
        <v>-2988.7185692740072</v>
      </c>
      <c r="K92" s="118">
        <f t="shared" si="415"/>
        <v>-2884.1548026845007</v>
      </c>
      <c r="L92" s="118">
        <f t="shared" si="415"/>
        <v>-5797.7919731556831</v>
      </c>
      <c r="M92" s="118">
        <f t="shared" si="415"/>
        <v>-6453.1643202819969</v>
      </c>
      <c r="N92" s="118">
        <f t="shared" si="415"/>
        <v>-8199.5121400000025</v>
      </c>
      <c r="O92" s="118">
        <f t="shared" si="415"/>
        <v>-7535.7505929999879</v>
      </c>
      <c r="P92" s="118">
        <f t="shared" si="415"/>
        <v>-8359.3127980000027</v>
      </c>
      <c r="Q92" s="118">
        <f t="shared" si="415"/>
        <v>-11388.80427800008</v>
      </c>
      <c r="R92" s="118">
        <f t="shared" si="415"/>
        <v>-9767.6355300000014</v>
      </c>
      <c r="S92" s="118">
        <f t="shared" si="415"/>
        <v>-11026.141191999997</v>
      </c>
      <c r="T92" s="118">
        <f t="shared" si="415"/>
        <v>-4870.2163367167141</v>
      </c>
      <c r="U92" s="118">
        <f t="shared" si="415"/>
        <v>-3839.2573567146424</v>
      </c>
      <c r="V92" s="118">
        <f t="shared" si="415"/>
        <v>-5204.0012997367685</v>
      </c>
      <c r="W92" s="118">
        <f t="shared" si="415"/>
        <v>-6098.9806054755527</v>
      </c>
      <c r="X92" s="118">
        <f t="shared" si="415"/>
        <v>-6204.3323717373833</v>
      </c>
      <c r="Y92" s="118">
        <f t="shared" si="415"/>
        <v>358.82972939005703</v>
      </c>
      <c r="Z92" s="118">
        <f t="shared" si="415"/>
        <v>3356.1553602606937</v>
      </c>
      <c r="AA92" s="118">
        <f t="shared" ref="AA92:AB92" si="416">AA24</f>
        <v>3067</v>
      </c>
      <c r="AB92" s="118">
        <f t="shared" si="416"/>
        <v>5881.5847153429731</v>
      </c>
      <c r="AC92" s="118">
        <f t="shared" ref="AC92:AD92" si="417">AC24</f>
        <v>8647</v>
      </c>
      <c r="AD92" s="118">
        <f t="shared" si="417"/>
        <v>3938.8849641134684</v>
      </c>
      <c r="AE92" s="118">
        <f t="shared" ref="AE92:AF92" si="418">AE24</f>
        <v>2845</v>
      </c>
      <c r="AF92" s="119">
        <f t="shared" si="418"/>
        <v>2255.0561941999199</v>
      </c>
      <c r="AG92" s="119">
        <f t="shared" ref="AG92:AH92" si="419">AG24</f>
        <v>4341.8227570343652</v>
      </c>
      <c r="AH92" s="119">
        <f t="shared" si="419"/>
        <v>2924.1300067933407</v>
      </c>
      <c r="AI92" s="119">
        <f t="shared" ref="AI92:AJ92" si="420">AI24</f>
        <v>3048</v>
      </c>
      <c r="AJ92" s="119">
        <f t="shared" si="420"/>
        <v>2462.5364080469953</v>
      </c>
      <c r="AK92" s="119">
        <f t="shared" ref="AK92:AL92" si="421">AK24</f>
        <v>2707</v>
      </c>
      <c r="AL92" s="119">
        <f t="shared" si="421"/>
        <v>2175.7640767192502</v>
      </c>
      <c r="AM92" s="119">
        <f t="shared" ref="AM92:AO92" si="422">AM24</f>
        <v>3659.3843296127502</v>
      </c>
      <c r="AN92" s="119">
        <f t="shared" si="422"/>
        <v>3016.769455338997</v>
      </c>
      <c r="AO92" s="119">
        <f t="shared" si="422"/>
        <v>4919.2500143419893</v>
      </c>
      <c r="AP92" s="119">
        <f t="shared" ref="AP92:AQ92" si="423">AP24</f>
        <v>4960.5965010890031</v>
      </c>
      <c r="AQ92" s="119">
        <f t="shared" si="423"/>
        <v>6577.9524669209695</v>
      </c>
      <c r="AR92" s="119">
        <f t="shared" ref="AR92:AS92" si="424">AR24</f>
        <v>6227.0722558230082</v>
      </c>
      <c r="AS92" s="119">
        <f t="shared" si="424"/>
        <v>7169.1641924170144</v>
      </c>
      <c r="AT92" s="119">
        <f t="shared" ref="AT92:AU92" si="425">AT24</f>
        <v>6120.409974289988</v>
      </c>
      <c r="AU92" s="119">
        <f t="shared" si="425"/>
        <v>4825</v>
      </c>
      <c r="AV92" s="119">
        <f t="shared" ref="AV92:AW92" si="426">AV24</f>
        <v>6924.0673167358491</v>
      </c>
      <c r="AW92" s="119">
        <f t="shared" si="426"/>
        <v>4854</v>
      </c>
      <c r="AX92" s="119">
        <f t="shared" ref="AX92:AY92" si="427">AX24</f>
        <v>6742.4845738209715</v>
      </c>
      <c r="AY92" s="119">
        <f t="shared" si="427"/>
        <v>5328.8170911420912</v>
      </c>
      <c r="AZ92" s="119">
        <f t="shared" ref="AZ92:BA92" si="428">AZ24</f>
        <v>75.964334203021281</v>
      </c>
      <c r="BA92" s="119">
        <f t="shared" si="428"/>
        <v>5320.1080055579132</v>
      </c>
      <c r="BB92" s="119">
        <f t="shared" ref="BB92:BC92" si="429">BB24</f>
        <v>4016.874354787411</v>
      </c>
      <c r="BC92" s="119">
        <f t="shared" si="429"/>
        <v>4553.5305191217758</v>
      </c>
      <c r="BD92" s="2"/>
      <c r="BE92" s="2"/>
    </row>
    <row r="93" spans="1:57">
      <c r="A93" s="2"/>
      <c r="B93" s="85"/>
      <c r="C93" s="85"/>
      <c r="D93" s="85"/>
      <c r="E93" s="85"/>
      <c r="F93" s="85"/>
      <c r="G93" s="85"/>
      <c r="H93" s="85"/>
      <c r="I93" s="85"/>
      <c r="J93" s="85"/>
      <c r="K93" s="85"/>
      <c r="L93" s="85"/>
      <c r="M93" s="85"/>
      <c r="N93" s="85"/>
      <c r="O93" s="85"/>
      <c r="P93" s="85"/>
      <c r="Q93" s="85"/>
      <c r="R93" s="85"/>
      <c r="S93" s="85"/>
      <c r="T93" s="85"/>
      <c r="U93" s="85"/>
      <c r="V93" s="85"/>
      <c r="W93" s="85"/>
      <c r="X93" s="85"/>
      <c r="Y93" s="85"/>
      <c r="Z93" s="85"/>
      <c r="AA93" s="85"/>
      <c r="AB93" s="85"/>
      <c r="AC93" s="85"/>
      <c r="AD93" s="85"/>
      <c r="AE93" s="85"/>
      <c r="AF93" s="111"/>
      <c r="AG93" s="111"/>
      <c r="AH93" s="111"/>
      <c r="AI93" s="111"/>
      <c r="AJ93" s="111"/>
      <c r="AK93" s="111"/>
      <c r="AL93" s="111"/>
      <c r="AM93" s="111"/>
      <c r="AN93" s="111"/>
      <c r="AO93" s="111"/>
      <c r="AP93" s="111"/>
      <c r="AQ93" s="111"/>
      <c r="AR93" s="111"/>
      <c r="AS93" s="111"/>
      <c r="AT93" s="111"/>
      <c r="AU93" s="111"/>
      <c r="AV93" s="111"/>
      <c r="AW93" s="111"/>
      <c r="AX93" s="111"/>
      <c r="AY93" s="111"/>
      <c r="AZ93" s="111"/>
      <c r="BA93" s="111"/>
      <c r="BB93" s="111"/>
      <c r="BC93" s="111"/>
      <c r="BD93" s="2"/>
      <c r="BE93" s="2"/>
    </row>
    <row r="94" spans="1:57">
      <c r="A94" s="2"/>
      <c r="B94" s="85"/>
      <c r="C94" s="85"/>
      <c r="D94" s="85"/>
      <c r="E94" s="85"/>
      <c r="F94" s="85"/>
      <c r="G94" s="85"/>
      <c r="H94" s="85"/>
      <c r="I94" s="85"/>
      <c r="J94" s="85"/>
      <c r="K94" s="85"/>
      <c r="L94" s="85"/>
      <c r="M94" s="85"/>
      <c r="N94" s="85"/>
      <c r="O94" s="85"/>
      <c r="P94" s="85"/>
      <c r="Q94" s="85"/>
      <c r="R94" s="85"/>
      <c r="S94" s="85"/>
      <c r="T94" s="85"/>
      <c r="U94" s="85"/>
      <c r="V94" s="85"/>
      <c r="W94" s="85"/>
      <c r="X94" s="85"/>
      <c r="Y94" s="85"/>
      <c r="Z94" s="85"/>
      <c r="AA94" s="85"/>
      <c r="AB94" s="85"/>
      <c r="AC94" s="85"/>
      <c r="AD94" s="85"/>
      <c r="AE94" s="85"/>
      <c r="AF94" s="111"/>
      <c r="AG94" s="111"/>
      <c r="AH94" s="111"/>
      <c r="AI94" s="111"/>
      <c r="AJ94" s="111"/>
      <c r="AK94" s="111"/>
      <c r="AL94" s="111"/>
      <c r="AM94" s="111"/>
      <c r="AN94" s="111"/>
      <c r="AO94" s="111"/>
      <c r="AP94" s="111"/>
      <c r="AQ94" s="111"/>
      <c r="AR94" s="111"/>
      <c r="AS94" s="111"/>
      <c r="AT94" s="111"/>
      <c r="AU94" s="111"/>
      <c r="AV94" s="111"/>
      <c r="AW94" s="111"/>
      <c r="AX94" s="111"/>
      <c r="AY94" s="111"/>
      <c r="AZ94" s="111"/>
      <c r="BA94" s="111"/>
      <c r="BB94" s="111"/>
      <c r="BC94" s="111"/>
      <c r="BD94" s="2"/>
      <c r="BE94" s="2"/>
    </row>
    <row r="95" spans="1:57">
      <c r="A95" s="2"/>
      <c r="B95" s="85"/>
      <c r="C95" s="85" t="str">
        <f t="shared" ref="C95:Z95" si="430">C1</f>
        <v>Q2 12</v>
      </c>
      <c r="D95" s="85" t="str">
        <f t="shared" si="430"/>
        <v>Q3 12</v>
      </c>
      <c r="E95" s="85" t="str">
        <f t="shared" si="430"/>
        <v>4Q12</v>
      </c>
      <c r="F95" s="85" t="str">
        <f t="shared" si="430"/>
        <v>1Q13</v>
      </c>
      <c r="G95" s="85" t="str">
        <f t="shared" si="430"/>
        <v>2Q13</v>
      </c>
      <c r="H95" s="85" t="str">
        <f t="shared" si="430"/>
        <v>3Q13</v>
      </c>
      <c r="I95" s="85" t="str">
        <f t="shared" si="430"/>
        <v>4Q13</v>
      </c>
      <c r="J95" s="85" t="str">
        <f t="shared" si="430"/>
        <v>1Q14</v>
      </c>
      <c r="K95" s="85" t="str">
        <f t="shared" si="430"/>
        <v>2Q14</v>
      </c>
      <c r="L95" s="85" t="str">
        <f t="shared" si="430"/>
        <v>3Q14</v>
      </c>
      <c r="M95" s="85" t="str">
        <f t="shared" si="430"/>
        <v>4Q14</v>
      </c>
      <c r="N95" s="85" t="str">
        <f t="shared" si="430"/>
        <v>1Q15</v>
      </c>
      <c r="O95" s="85" t="str">
        <f t="shared" si="430"/>
        <v>2Q15</v>
      </c>
      <c r="P95" s="85" t="str">
        <f t="shared" si="430"/>
        <v>3Q15</v>
      </c>
      <c r="Q95" s="85" t="str">
        <f t="shared" si="430"/>
        <v>4Q15</v>
      </c>
      <c r="R95" s="85" t="str">
        <f t="shared" si="430"/>
        <v>1Q16</v>
      </c>
      <c r="S95" s="85" t="str">
        <f t="shared" si="430"/>
        <v>2Q16</v>
      </c>
      <c r="T95" s="85" t="str">
        <f t="shared" si="430"/>
        <v>3Q16</v>
      </c>
      <c r="U95" s="85" t="str">
        <f t="shared" si="430"/>
        <v>4Q16</v>
      </c>
      <c r="V95" s="85" t="str">
        <f t="shared" si="430"/>
        <v>1Q17</v>
      </c>
      <c r="W95" s="85" t="str">
        <f t="shared" si="430"/>
        <v>2Q17</v>
      </c>
      <c r="X95" s="85" t="str">
        <f t="shared" si="430"/>
        <v>3Q17</v>
      </c>
      <c r="Y95" s="85" t="str">
        <f t="shared" si="430"/>
        <v>4Q17</v>
      </c>
      <c r="Z95" s="85" t="str">
        <f t="shared" si="430"/>
        <v>1Q18</v>
      </c>
      <c r="AA95" s="85" t="str">
        <f t="shared" ref="AA95:AB95" si="431">AA1</f>
        <v>2Q18</v>
      </c>
      <c r="AB95" s="85" t="str">
        <f t="shared" si="431"/>
        <v>3Q18</v>
      </c>
      <c r="AC95" s="85" t="str">
        <f t="shared" ref="AC95:AD95" si="432">AC1</f>
        <v>4Q18</v>
      </c>
      <c r="AD95" s="85" t="str">
        <f t="shared" si="432"/>
        <v>1Q19</v>
      </c>
      <c r="AE95" s="85" t="str">
        <f t="shared" ref="AE95:AF95" si="433">AE1</f>
        <v>2Q19</v>
      </c>
      <c r="AF95" s="111" t="str">
        <f t="shared" si="433"/>
        <v>3Q19</v>
      </c>
      <c r="AG95" s="111" t="str">
        <f t="shared" ref="AG95:AH95" si="434">AG1</f>
        <v>4Q19</v>
      </c>
      <c r="AH95" s="111" t="str">
        <f t="shared" si="434"/>
        <v>1Q20</v>
      </c>
      <c r="AI95" s="111" t="str">
        <f t="shared" ref="AI95:AJ95" si="435">AI1</f>
        <v>2Q20</v>
      </c>
      <c r="AJ95" s="111" t="str">
        <f t="shared" si="435"/>
        <v>3Q20</v>
      </c>
      <c r="AK95" s="111" t="str">
        <f t="shared" ref="AK95:AL95" si="436">AK1</f>
        <v>4Q20</v>
      </c>
      <c r="AL95" s="111" t="str">
        <f t="shared" si="436"/>
        <v>1Q21</v>
      </c>
      <c r="AM95" s="111" t="str">
        <f t="shared" ref="AM95:AO95" si="437">AM1</f>
        <v>2Q21</v>
      </c>
      <c r="AN95" s="111" t="str">
        <f t="shared" si="437"/>
        <v>3Q21</v>
      </c>
      <c r="AO95" s="111" t="str">
        <f t="shared" si="437"/>
        <v>4Q21</v>
      </c>
      <c r="AP95" s="111" t="str">
        <f t="shared" ref="AP95:AQ95" si="438">AP1</f>
        <v>1Q22</v>
      </c>
      <c r="AQ95" s="111" t="str">
        <f t="shared" si="438"/>
        <v>2Q22</v>
      </c>
      <c r="AR95" s="111" t="str">
        <f t="shared" ref="AR95:AS95" si="439">AR1</f>
        <v>3Q22</v>
      </c>
      <c r="AS95" s="111" t="str">
        <f t="shared" si="439"/>
        <v>4Q22</v>
      </c>
      <c r="AT95" s="111" t="str">
        <f t="shared" ref="AT95:AU95" si="440">AT1</f>
        <v>1Q23</v>
      </c>
      <c r="AU95" s="111" t="str">
        <f t="shared" si="440"/>
        <v>2Q23</v>
      </c>
      <c r="AV95" s="111" t="str">
        <f t="shared" ref="AV95:AW95" si="441">AV1</f>
        <v>3Q23</v>
      </c>
      <c r="AW95" s="111" t="str">
        <f t="shared" si="441"/>
        <v>4Q23</v>
      </c>
      <c r="AX95" s="111" t="str">
        <f t="shared" ref="AX95:AY95" si="442">AX1</f>
        <v>1Q24</v>
      </c>
      <c r="AY95" s="111" t="str">
        <f t="shared" si="442"/>
        <v>2Q24</v>
      </c>
      <c r="AZ95" s="111" t="str">
        <f t="shared" ref="AZ95:BA95" si="443">AZ1</f>
        <v>3Q24</v>
      </c>
      <c r="BA95" s="111" t="str">
        <f t="shared" si="443"/>
        <v>4Q24</v>
      </c>
      <c r="BB95" s="111" t="str">
        <f t="shared" ref="BB95:BC95" si="444">BB1</f>
        <v>1Q25</v>
      </c>
      <c r="BC95" s="111" t="str">
        <f t="shared" si="444"/>
        <v>2Q25</v>
      </c>
      <c r="BD95" s="2"/>
      <c r="BE95" s="2"/>
    </row>
    <row r="96" spans="1:57">
      <c r="A96" s="2" t="s">
        <v>39</v>
      </c>
      <c r="B96" s="85"/>
      <c r="C96" s="118">
        <f t="shared" ref="C96:Z96" si="445">C25</f>
        <v>25990</v>
      </c>
      <c r="D96" s="118">
        <f t="shared" si="445"/>
        <v>13515</v>
      </c>
      <c r="E96" s="118">
        <f t="shared" si="445"/>
        <v>12903.199999999999</v>
      </c>
      <c r="F96" s="118">
        <f t="shared" si="445"/>
        <v>6426</v>
      </c>
      <c r="G96" s="118">
        <f t="shared" si="445"/>
        <v>11445</v>
      </c>
      <c r="H96" s="118">
        <f t="shared" si="445"/>
        <v>8800</v>
      </c>
      <c r="I96" s="118">
        <f t="shared" si="445"/>
        <v>12925</v>
      </c>
      <c r="J96" s="118">
        <f t="shared" si="445"/>
        <v>9232.3259999999991</v>
      </c>
      <c r="K96" s="118">
        <f t="shared" si="445"/>
        <v>9639.768</v>
      </c>
      <c r="L96" s="118">
        <f t="shared" si="445"/>
        <v>8681.33</v>
      </c>
      <c r="M96" s="118">
        <f t="shared" si="445"/>
        <v>10868.407000000001</v>
      </c>
      <c r="N96" s="118">
        <f t="shared" si="445"/>
        <v>9571.2900699999991</v>
      </c>
      <c r="O96" s="118">
        <f t="shared" si="445"/>
        <v>16020.902760000001</v>
      </c>
      <c r="P96" s="118">
        <f t="shared" si="445"/>
        <v>17577.816999999995</v>
      </c>
      <c r="Q96" s="118">
        <f t="shared" si="445"/>
        <v>22210.108</v>
      </c>
      <c r="R96" s="118">
        <f t="shared" si="445"/>
        <v>9511.0310000000009</v>
      </c>
      <c r="S96" s="118">
        <f t="shared" si="445"/>
        <v>10665.229999999998</v>
      </c>
      <c r="T96" s="118">
        <f t="shared" si="445"/>
        <v>12098.864000000003</v>
      </c>
      <c r="U96" s="118">
        <f t="shared" si="445"/>
        <v>18667.891189064496</v>
      </c>
      <c r="V96" s="118">
        <f t="shared" si="445"/>
        <v>7503.504585341424</v>
      </c>
      <c r="W96" s="118">
        <f t="shared" si="445"/>
        <v>6781.3770374301876</v>
      </c>
      <c r="X96" s="118">
        <f t="shared" si="445"/>
        <v>4366.2131277775252</v>
      </c>
      <c r="Y96" s="118">
        <f t="shared" si="445"/>
        <v>9032.7416779837931</v>
      </c>
      <c r="Z96" s="118">
        <f t="shared" si="445"/>
        <v>3160.9451196352893</v>
      </c>
      <c r="AA96" s="118">
        <f t="shared" ref="AA96:AB96" si="446">AA25</f>
        <v>3131</v>
      </c>
      <c r="AB96" s="118">
        <f t="shared" si="446"/>
        <v>4667.3656491992861</v>
      </c>
      <c r="AC96" s="118">
        <f t="shared" ref="AC96:AD96" si="447">AC25</f>
        <v>16299.817125767253</v>
      </c>
      <c r="AD96" s="118">
        <f t="shared" si="447"/>
        <v>3295.7369373321226</v>
      </c>
      <c r="AE96" s="118">
        <f t="shared" ref="AE96:AF96" si="448">AE25</f>
        <v>7386</v>
      </c>
      <c r="AF96" s="119">
        <f t="shared" si="448"/>
        <v>7251.3448367515266</v>
      </c>
      <c r="AG96" s="119">
        <f t="shared" ref="AG96:AH96" si="449">AG25</f>
        <v>21495.79104192536</v>
      </c>
      <c r="AH96" s="119">
        <f t="shared" si="449"/>
        <v>6926.9286390100406</v>
      </c>
      <c r="AI96" s="119">
        <f t="shared" ref="AI96:AJ96" si="450">AI25</f>
        <v>10326</v>
      </c>
      <c r="AJ96" s="119">
        <f t="shared" si="450"/>
        <v>10676.807801334775</v>
      </c>
      <c r="AK96" s="119">
        <f t="shared" ref="AK96:AL96" si="451">AK25</f>
        <v>17909</v>
      </c>
      <c r="AL96" s="119">
        <f t="shared" si="451"/>
        <v>5003.817500000001</v>
      </c>
      <c r="AM96" s="119">
        <f t="shared" ref="AM96:AO96" si="452">AM25</f>
        <v>11145.749999999998</v>
      </c>
      <c r="AN96" s="119">
        <f t="shared" si="452"/>
        <v>13822.027083333334</v>
      </c>
      <c r="AO96" s="119">
        <f t="shared" si="452"/>
        <v>15457.332500000004</v>
      </c>
      <c r="AP96" s="119">
        <f t="shared" ref="AP96:AQ96" si="453">AP25</f>
        <v>7794.7100000000009</v>
      </c>
      <c r="AQ96" s="119">
        <f t="shared" si="453"/>
        <v>10315.12138447753</v>
      </c>
      <c r="AR96" s="119">
        <f t="shared" ref="AR96:AS96" si="454">AR25</f>
        <v>13965.082083333333</v>
      </c>
      <c r="AS96" s="119">
        <f t="shared" si="454"/>
        <v>16815.837180886789</v>
      </c>
      <c r="AT96" s="119">
        <f t="shared" ref="AT96:AU96" si="455">AT25</f>
        <v>10880.382500000002</v>
      </c>
      <c r="AU96" s="119">
        <f t="shared" si="455"/>
        <v>13500</v>
      </c>
      <c r="AV96" s="119">
        <f t="shared" ref="AV96:AW96" si="456">AV25</f>
        <v>12077.252950000004</v>
      </c>
      <c r="AW96" s="119">
        <f t="shared" si="456"/>
        <v>23943</v>
      </c>
      <c r="AX96" s="119">
        <f t="shared" ref="AX96:AY96" si="457">AX25</f>
        <v>11502.7955</v>
      </c>
      <c r="AY96" s="119">
        <f t="shared" si="457"/>
        <v>14187.842833333334</v>
      </c>
      <c r="AZ96" s="119">
        <f t="shared" ref="AZ96:BA96" si="458">AZ25</f>
        <v>15145.604716666669</v>
      </c>
      <c r="BA96" s="119">
        <f t="shared" si="458"/>
        <v>20192.170050000001</v>
      </c>
      <c r="BB96" s="119">
        <f t="shared" ref="BB96:BC96" si="459">BB25</f>
        <v>12253.927350000002</v>
      </c>
      <c r="BC96" s="119">
        <f t="shared" si="459"/>
        <v>14150.262966666667</v>
      </c>
      <c r="BD96" s="2"/>
      <c r="BE96" s="2"/>
    </row>
    <row r="97" spans="1:57">
      <c r="A97" s="2" t="s">
        <v>770</v>
      </c>
      <c r="B97" s="85"/>
      <c r="C97" s="85"/>
      <c r="D97" s="85"/>
      <c r="E97" s="85"/>
      <c r="F97" s="118">
        <f>SUM(C96:F96)/4</f>
        <v>14708.55</v>
      </c>
      <c r="G97" s="118">
        <f t="shared" ref="G97:AC97" si="460">SUM(D96:G96)/4</f>
        <v>11072.3</v>
      </c>
      <c r="H97" s="118">
        <f t="shared" si="460"/>
        <v>9893.5499999999993</v>
      </c>
      <c r="I97" s="118">
        <f t="shared" si="460"/>
        <v>9899</v>
      </c>
      <c r="J97" s="118">
        <f t="shared" si="460"/>
        <v>10600.5815</v>
      </c>
      <c r="K97" s="118">
        <f t="shared" si="460"/>
        <v>10149.273499999999</v>
      </c>
      <c r="L97" s="118">
        <f t="shared" si="460"/>
        <v>10119.606</v>
      </c>
      <c r="M97" s="118">
        <f t="shared" si="460"/>
        <v>9605.4577499999996</v>
      </c>
      <c r="N97" s="118">
        <f t="shared" si="460"/>
        <v>9690.1987674999982</v>
      </c>
      <c r="O97" s="118">
        <f t="shared" si="460"/>
        <v>11285.4824575</v>
      </c>
      <c r="P97" s="118">
        <f t="shared" si="460"/>
        <v>13509.6042075</v>
      </c>
      <c r="Q97" s="118">
        <f t="shared" si="460"/>
        <v>16345.029457499999</v>
      </c>
      <c r="R97" s="113">
        <f>SUM(O96:R96)/4</f>
        <v>16329.964689999999</v>
      </c>
      <c r="S97" s="118">
        <f t="shared" si="460"/>
        <v>14991.046499999999</v>
      </c>
      <c r="T97" s="118">
        <f t="shared" si="460"/>
        <v>13621.30825</v>
      </c>
      <c r="U97" s="118">
        <f t="shared" si="460"/>
        <v>12735.754047266124</v>
      </c>
      <c r="V97" s="118">
        <f t="shared" si="460"/>
        <v>12233.87244360148</v>
      </c>
      <c r="W97" s="118">
        <f t="shared" si="460"/>
        <v>11262.909202959028</v>
      </c>
      <c r="X97" s="118">
        <f t="shared" si="460"/>
        <v>9329.7464849034077</v>
      </c>
      <c r="Y97" s="118">
        <f t="shared" si="460"/>
        <v>6920.9591071332325</v>
      </c>
      <c r="Z97" s="118">
        <f t="shared" si="460"/>
        <v>5835.3192407066981</v>
      </c>
      <c r="AA97" s="118">
        <f t="shared" si="460"/>
        <v>4922.7249813491517</v>
      </c>
      <c r="AB97" s="118">
        <f t="shared" si="460"/>
        <v>4998.0131117045921</v>
      </c>
      <c r="AC97" s="118">
        <f t="shared" si="460"/>
        <v>6814.7819736504571</v>
      </c>
      <c r="AD97" s="118">
        <f t="shared" ref="AD97:AM97" si="461">SUM(AA96:AD96)/4</f>
        <v>6848.4799280746656</v>
      </c>
      <c r="AE97" s="118">
        <f t="shared" si="461"/>
        <v>7912.2299280746656</v>
      </c>
      <c r="AF97" s="119">
        <f t="shared" si="461"/>
        <v>8558.2247249627253</v>
      </c>
      <c r="AG97" s="119">
        <f t="shared" si="461"/>
        <v>9857.2182040022526</v>
      </c>
      <c r="AH97" s="119">
        <f t="shared" si="461"/>
        <v>10765.016129421731</v>
      </c>
      <c r="AI97" s="119">
        <f t="shared" si="461"/>
        <v>11500.016129421732</v>
      </c>
      <c r="AJ97" s="119">
        <f t="shared" si="461"/>
        <v>12356.381870567544</v>
      </c>
      <c r="AK97" s="119">
        <f t="shared" si="461"/>
        <v>11459.684110086204</v>
      </c>
      <c r="AL97" s="119">
        <f t="shared" si="461"/>
        <v>10978.906325333694</v>
      </c>
      <c r="AM97" s="119">
        <f t="shared" si="461"/>
        <v>11183.843825333694</v>
      </c>
      <c r="AN97" s="119">
        <f t="shared" ref="AN97:AS97" si="462">SUM(AK96:AN96)/4</f>
        <v>11970.148645833333</v>
      </c>
      <c r="AO97" s="119">
        <f t="shared" si="462"/>
        <v>11357.231770833334</v>
      </c>
      <c r="AP97" s="119">
        <f t="shared" si="462"/>
        <v>12054.954895833334</v>
      </c>
      <c r="AQ97" s="119">
        <f t="shared" si="462"/>
        <v>11847.297741952716</v>
      </c>
      <c r="AR97" s="119">
        <f t="shared" si="462"/>
        <v>11883.061491952716</v>
      </c>
      <c r="AS97" s="119">
        <f t="shared" si="462"/>
        <v>12222.687662174414</v>
      </c>
      <c r="AT97" s="119">
        <f t="shared" ref="AT97:BC97" si="463">SUM(AQ96:AT96)/4</f>
        <v>12994.105787174412</v>
      </c>
      <c r="AU97" s="119">
        <f t="shared" si="463"/>
        <v>13790.325441055031</v>
      </c>
      <c r="AV97" s="119">
        <f t="shared" si="463"/>
        <v>13318.368157721698</v>
      </c>
      <c r="AW97" s="119">
        <f t="shared" si="463"/>
        <v>15100.1588625</v>
      </c>
      <c r="AX97" s="119">
        <f t="shared" si="463"/>
        <v>15255.762112500001</v>
      </c>
      <c r="AY97" s="119">
        <f t="shared" si="463"/>
        <v>15427.722820833334</v>
      </c>
      <c r="AZ97" s="119">
        <f t="shared" si="463"/>
        <v>16194.810762500001</v>
      </c>
      <c r="BA97" s="119">
        <f t="shared" si="463"/>
        <v>15257.103275000001</v>
      </c>
      <c r="BB97" s="119">
        <f t="shared" si="463"/>
        <v>15444.886237500003</v>
      </c>
      <c r="BC97" s="119">
        <f t="shared" si="463"/>
        <v>15435.491270833334</v>
      </c>
      <c r="BD97" s="2"/>
      <c r="BE97" s="2"/>
    </row>
    <row r="98" spans="1:57">
      <c r="A98" s="2"/>
      <c r="B98" s="85"/>
      <c r="C98" s="85"/>
      <c r="D98" s="85"/>
      <c r="E98" s="85"/>
      <c r="F98" s="85"/>
      <c r="G98" s="85"/>
      <c r="H98" s="85"/>
      <c r="I98" s="85"/>
      <c r="J98" s="85"/>
      <c r="K98" s="85"/>
      <c r="L98" s="85"/>
      <c r="M98" s="85"/>
      <c r="N98" s="85"/>
      <c r="O98" s="85"/>
      <c r="P98" s="85"/>
      <c r="Q98" s="85"/>
      <c r="R98" s="85"/>
      <c r="S98" s="85"/>
      <c r="T98" s="85"/>
      <c r="U98" s="85"/>
      <c r="V98" s="85"/>
      <c r="W98" s="85"/>
      <c r="X98" s="85"/>
      <c r="Y98" s="85"/>
      <c r="Z98" s="85"/>
      <c r="AA98" s="85"/>
      <c r="AB98" s="85"/>
      <c r="AC98" s="85"/>
      <c r="AD98" s="85"/>
      <c r="AE98" s="85"/>
      <c r="AF98" s="111"/>
      <c r="AG98" s="111"/>
      <c r="AH98" s="111"/>
      <c r="AI98" s="111"/>
      <c r="AJ98" s="111"/>
      <c r="AK98" s="111"/>
      <c r="AL98" s="111"/>
      <c r="AM98" s="111"/>
      <c r="AN98" s="111"/>
      <c r="AO98" s="111"/>
      <c r="AP98" s="111"/>
      <c r="AQ98" s="111"/>
      <c r="AR98" s="111"/>
      <c r="AS98" s="111"/>
      <c r="AT98" s="111"/>
      <c r="AU98" s="111"/>
      <c r="AV98" s="111"/>
      <c r="AW98" s="111"/>
      <c r="AX98" s="111"/>
      <c r="AY98" s="111"/>
      <c r="AZ98" s="111"/>
      <c r="BA98" s="111"/>
      <c r="BB98" s="111"/>
      <c r="BC98" s="111"/>
      <c r="BD98" s="2"/>
      <c r="BE98" s="2"/>
    </row>
    <row r="99" spans="1:57">
      <c r="A99" s="2"/>
      <c r="B99" s="85"/>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111"/>
      <c r="AG99" s="111"/>
      <c r="AH99" s="111"/>
      <c r="AI99" s="111"/>
      <c r="AJ99" s="111"/>
      <c r="AK99" s="111"/>
      <c r="AL99" s="111"/>
      <c r="AM99" s="111"/>
      <c r="AN99" s="111"/>
      <c r="AO99" s="111"/>
      <c r="AP99" s="111"/>
      <c r="AQ99" s="111"/>
      <c r="AR99" s="111"/>
      <c r="AS99" s="111"/>
      <c r="AT99" s="111"/>
      <c r="AU99" s="111"/>
      <c r="AV99" s="111"/>
      <c r="AW99" s="111"/>
      <c r="AX99" s="111"/>
      <c r="AY99" s="111"/>
      <c r="AZ99" s="111"/>
      <c r="BA99" s="111"/>
      <c r="BB99" s="111"/>
      <c r="BC99" s="111"/>
      <c r="BD99" s="2"/>
      <c r="BE99" s="2"/>
    </row>
    <row r="100" spans="1:57">
      <c r="A100" s="2"/>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111"/>
      <c r="AG100" s="111"/>
      <c r="AH100" s="111"/>
      <c r="AI100" s="111"/>
      <c r="AJ100" s="111"/>
      <c r="AK100" s="111"/>
      <c r="AL100" s="111"/>
      <c r="AM100" s="111"/>
      <c r="AN100" s="111"/>
      <c r="AO100" s="111"/>
      <c r="AP100" s="111"/>
      <c r="AQ100" s="111"/>
      <c r="AR100" s="111"/>
      <c r="AS100" s="111"/>
      <c r="AT100" s="111"/>
      <c r="AU100" s="111"/>
      <c r="AV100" s="111"/>
      <c r="AW100" s="111"/>
      <c r="AX100" s="111"/>
      <c r="AY100" s="111"/>
      <c r="AZ100" s="111"/>
      <c r="BA100" s="111"/>
      <c r="BB100" s="111"/>
      <c r="BC100" s="111"/>
      <c r="BD100" s="2"/>
      <c r="BE100" s="2"/>
    </row>
    <row r="101" spans="1:57">
      <c r="A101" s="2"/>
      <c r="B101" s="85"/>
      <c r="C101" s="85" t="str">
        <f>C95</f>
        <v>Q2 12</v>
      </c>
      <c r="D101" s="85" t="str">
        <f t="shared" ref="D101:Y101" si="464">D95</f>
        <v>Q3 12</v>
      </c>
      <c r="E101" s="85" t="str">
        <f t="shared" si="464"/>
        <v>4Q12</v>
      </c>
      <c r="F101" s="85" t="str">
        <f t="shared" si="464"/>
        <v>1Q13</v>
      </c>
      <c r="G101" s="85" t="str">
        <f t="shared" si="464"/>
        <v>2Q13</v>
      </c>
      <c r="H101" s="85" t="str">
        <f t="shared" si="464"/>
        <v>3Q13</v>
      </c>
      <c r="I101" s="85" t="str">
        <f t="shared" si="464"/>
        <v>4Q13</v>
      </c>
      <c r="J101" s="85" t="str">
        <f t="shared" si="464"/>
        <v>1Q14</v>
      </c>
      <c r="K101" s="85" t="str">
        <f t="shared" si="464"/>
        <v>2Q14</v>
      </c>
      <c r="L101" s="85" t="str">
        <f t="shared" si="464"/>
        <v>3Q14</v>
      </c>
      <c r="M101" s="85" t="str">
        <f t="shared" si="464"/>
        <v>4Q14</v>
      </c>
      <c r="N101" s="85" t="str">
        <f t="shared" si="464"/>
        <v>1Q15</v>
      </c>
      <c r="O101" s="85" t="str">
        <f t="shared" si="464"/>
        <v>2Q15</v>
      </c>
      <c r="P101" s="85" t="str">
        <f t="shared" si="464"/>
        <v>3Q15</v>
      </c>
      <c r="Q101" s="85" t="str">
        <f t="shared" si="464"/>
        <v>4Q15</v>
      </c>
      <c r="R101" s="85" t="str">
        <f t="shared" si="464"/>
        <v>1Q16</v>
      </c>
      <c r="S101" s="85" t="str">
        <f t="shared" si="464"/>
        <v>2Q16</v>
      </c>
      <c r="T101" s="85" t="str">
        <f t="shared" si="464"/>
        <v>3Q16</v>
      </c>
      <c r="U101" s="85" t="str">
        <f t="shared" si="464"/>
        <v>4Q16</v>
      </c>
      <c r="V101" s="85" t="str">
        <f t="shared" si="464"/>
        <v>1Q17</v>
      </c>
      <c r="W101" s="85" t="str">
        <f t="shared" si="464"/>
        <v>2Q17</v>
      </c>
      <c r="X101" s="85" t="str">
        <f t="shared" si="464"/>
        <v>3Q17</v>
      </c>
      <c r="Y101" s="85" t="str">
        <f t="shared" si="464"/>
        <v>4Q17</v>
      </c>
      <c r="Z101" s="85" t="str">
        <f t="shared" ref="Z101:AA101" si="465">Z95</f>
        <v>1Q18</v>
      </c>
      <c r="AA101" s="85" t="str">
        <f t="shared" si="465"/>
        <v>2Q18</v>
      </c>
      <c r="AB101" s="85" t="str">
        <f t="shared" ref="AB101:AC101" si="466">AB95</f>
        <v>3Q18</v>
      </c>
      <c r="AC101" s="85" t="str">
        <f t="shared" si="466"/>
        <v>4Q18</v>
      </c>
      <c r="AD101" s="85" t="str">
        <f t="shared" ref="AD101:AE101" si="467">AD95</f>
        <v>1Q19</v>
      </c>
      <c r="AE101" s="85" t="str">
        <f t="shared" si="467"/>
        <v>2Q19</v>
      </c>
      <c r="AF101" s="111" t="str">
        <f t="shared" ref="AF101:AG101" si="468">AF95</f>
        <v>3Q19</v>
      </c>
      <c r="AG101" s="111" t="str">
        <f t="shared" si="468"/>
        <v>4Q19</v>
      </c>
      <c r="AH101" s="111" t="str">
        <f t="shared" ref="AH101:AI101" si="469">AH95</f>
        <v>1Q20</v>
      </c>
      <c r="AI101" s="111" t="str">
        <f t="shared" si="469"/>
        <v>2Q20</v>
      </c>
      <c r="AJ101" s="111" t="str">
        <f t="shared" ref="AJ101:AK101" si="470">AJ95</f>
        <v>3Q20</v>
      </c>
      <c r="AK101" s="111" t="str">
        <f t="shared" si="470"/>
        <v>4Q20</v>
      </c>
      <c r="AL101" s="111" t="str">
        <f t="shared" ref="AL101:AM101" si="471">AL95</f>
        <v>1Q21</v>
      </c>
      <c r="AM101" s="111" t="str">
        <f t="shared" si="471"/>
        <v>2Q21</v>
      </c>
      <c r="AN101" s="111" t="str">
        <f t="shared" ref="AN101:AO101" si="472">AN95</f>
        <v>3Q21</v>
      </c>
      <c r="AO101" s="111" t="str">
        <f t="shared" si="472"/>
        <v>4Q21</v>
      </c>
      <c r="AP101" s="111" t="str">
        <f t="shared" ref="AP101:AQ101" si="473">AP95</f>
        <v>1Q22</v>
      </c>
      <c r="AQ101" s="111" t="str">
        <f t="shared" si="473"/>
        <v>2Q22</v>
      </c>
      <c r="AR101" s="111" t="str">
        <f t="shared" ref="AR101:AS101" si="474">AR95</f>
        <v>3Q22</v>
      </c>
      <c r="AS101" s="111" t="str">
        <f t="shared" si="474"/>
        <v>4Q22</v>
      </c>
      <c r="AT101" s="111" t="str">
        <f t="shared" ref="AT101:AU101" si="475">AT95</f>
        <v>1Q23</v>
      </c>
      <c r="AU101" s="111" t="str">
        <f t="shared" si="475"/>
        <v>2Q23</v>
      </c>
      <c r="AV101" s="111" t="str">
        <f t="shared" ref="AV101:AW101" si="476">AV95</f>
        <v>3Q23</v>
      </c>
      <c r="AW101" s="111" t="str">
        <f t="shared" si="476"/>
        <v>4Q23</v>
      </c>
      <c r="AX101" s="111" t="str">
        <f t="shared" ref="AX101:AY101" si="477">AX95</f>
        <v>1Q24</v>
      </c>
      <c r="AY101" s="111" t="str">
        <f t="shared" si="477"/>
        <v>2Q24</v>
      </c>
      <c r="AZ101" s="111" t="str">
        <f t="shared" ref="AZ101:BA101" si="478">AZ95</f>
        <v>3Q24</v>
      </c>
      <c r="BA101" s="111" t="str">
        <f t="shared" si="478"/>
        <v>4Q24</v>
      </c>
      <c r="BB101" s="111" t="str">
        <f t="shared" ref="BB101:BC101" si="479">BB95</f>
        <v>1Q25</v>
      </c>
      <c r="BC101" s="111" t="str">
        <f t="shared" si="479"/>
        <v>2Q25</v>
      </c>
      <c r="BD101" s="2"/>
      <c r="BE101" s="2"/>
    </row>
    <row r="102" spans="1:57">
      <c r="A102" s="2" t="s">
        <v>771</v>
      </c>
      <c r="B102" s="85"/>
      <c r="C102" s="118">
        <f>C27</f>
        <v>0</v>
      </c>
      <c r="D102" s="118">
        <f t="shared" ref="D102:Y102" si="480">D27</f>
        <v>0</v>
      </c>
      <c r="E102" s="118">
        <f t="shared" si="480"/>
        <v>0</v>
      </c>
      <c r="F102" s="118">
        <f t="shared" si="480"/>
        <v>0</v>
      </c>
      <c r="G102" s="118">
        <f t="shared" si="480"/>
        <v>0</v>
      </c>
      <c r="H102" s="118">
        <f t="shared" si="480"/>
        <v>0</v>
      </c>
      <c r="I102" s="118">
        <f t="shared" si="480"/>
        <v>0</v>
      </c>
      <c r="J102" s="118">
        <f t="shared" si="480"/>
        <v>832641.85063400003</v>
      </c>
      <c r="K102" s="118">
        <f t="shared" si="480"/>
        <v>892046.17345300014</v>
      </c>
      <c r="L102" s="118">
        <f t="shared" si="480"/>
        <v>884446.09280400013</v>
      </c>
      <c r="M102" s="118">
        <f t="shared" si="480"/>
        <v>864743.7330430001</v>
      </c>
      <c r="N102" s="118">
        <f t="shared" si="480"/>
        <v>843679.11068899999</v>
      </c>
      <c r="O102" s="118">
        <f t="shared" si="480"/>
        <v>818247.39341500006</v>
      </c>
      <c r="P102" s="118">
        <f t="shared" si="480"/>
        <v>757472.13359800004</v>
      </c>
      <c r="Q102" s="118">
        <f t="shared" si="480"/>
        <v>681543.88436899986</v>
      </c>
      <c r="R102" s="118">
        <f t="shared" si="480"/>
        <v>707360.62111099996</v>
      </c>
      <c r="S102" s="118">
        <f t="shared" si="480"/>
        <v>718612.61456600006</v>
      </c>
      <c r="T102" s="118">
        <f t="shared" si="480"/>
        <v>736613.54264799994</v>
      </c>
      <c r="U102" s="118">
        <f t="shared" si="480"/>
        <v>758254.240643</v>
      </c>
      <c r="V102" s="118">
        <f t="shared" si="480"/>
        <v>617750.509571</v>
      </c>
      <c r="W102" s="118">
        <f t="shared" si="480"/>
        <v>573037.283990775</v>
      </c>
      <c r="X102" s="118">
        <f t="shared" si="480"/>
        <v>584381.36400875496</v>
      </c>
      <c r="Y102" s="118">
        <f t="shared" si="480"/>
        <v>578688.45641465008</v>
      </c>
      <c r="Z102" s="118">
        <f t="shared" ref="Z102:AA102" si="481">Z27</f>
        <v>589363.93510242004</v>
      </c>
      <c r="AA102" s="118">
        <f t="shared" si="481"/>
        <v>602065</v>
      </c>
      <c r="AB102" s="118">
        <f t="shared" ref="AB102:AC102" si="482">AB27</f>
        <v>558509.61292545113</v>
      </c>
      <c r="AC102" s="118">
        <f t="shared" si="482"/>
        <v>568556.32125872793</v>
      </c>
      <c r="AD102" s="118">
        <f t="shared" ref="AD102:AE102" si="483">AD27</f>
        <v>573800.15930138261</v>
      </c>
      <c r="AE102" s="118">
        <f t="shared" si="483"/>
        <v>603147</v>
      </c>
      <c r="AF102" s="119">
        <f t="shared" ref="AF102:AG102" si="484">AF27</f>
        <v>593874.87774433114</v>
      </c>
      <c r="AG102" s="119">
        <f t="shared" si="484"/>
        <v>607891.64754328108</v>
      </c>
      <c r="AH102" s="119">
        <f t="shared" ref="AH102:AI102" si="485">AH27</f>
        <v>569702.3232449441</v>
      </c>
      <c r="AI102" s="119">
        <f t="shared" si="485"/>
        <v>586118</v>
      </c>
      <c r="AJ102" s="119">
        <f t="shared" ref="AJ102:AK102" si="486">AJ27</f>
        <v>606433.83880473906</v>
      </c>
      <c r="AK102" s="119">
        <f t="shared" si="486"/>
        <v>626556</v>
      </c>
      <c r="AL102" s="119">
        <f t="shared" ref="AL102:AM102" si="487">AL27</f>
        <v>630102.67843688896</v>
      </c>
      <c r="AM102" s="119">
        <f t="shared" si="487"/>
        <v>637823.65140328917</v>
      </c>
      <c r="AN102" s="119">
        <f t="shared" ref="AN102:AO102" si="488">AN27</f>
        <v>650293.56305231899</v>
      </c>
      <c r="AO102" s="119">
        <f t="shared" si="488"/>
        <v>654288.55813338305</v>
      </c>
      <c r="AP102" s="119">
        <f t="shared" ref="AP102:AQ102" si="489">AP27</f>
        <v>659232.22592186788</v>
      </c>
      <c r="AQ102" s="119">
        <f t="shared" si="489"/>
        <v>669934.40687324293</v>
      </c>
      <c r="AR102" s="119">
        <f t="shared" ref="AR102:AS102" si="490">AR27</f>
        <v>670024.65129670093</v>
      </c>
      <c r="AS102" s="119">
        <f t="shared" si="490"/>
        <v>692624.02579770295</v>
      </c>
      <c r="AT102" s="119">
        <f t="shared" ref="AT102:AU102" si="491">AT27</f>
        <v>706046.63053100405</v>
      </c>
      <c r="AU102" s="119">
        <f t="shared" si="491"/>
        <v>719394</v>
      </c>
      <c r="AV102" s="119">
        <f t="shared" ref="AV102:AW102" si="492">AV27</f>
        <v>774270.26319682808</v>
      </c>
      <c r="AW102" s="119">
        <f t="shared" si="492"/>
        <v>791587</v>
      </c>
      <c r="AX102" s="119">
        <f t="shared" ref="AX102:AY102" si="493">AX27</f>
        <v>664092.79058315803</v>
      </c>
      <c r="AY102" s="119">
        <f t="shared" si="493"/>
        <v>654169.53784988401</v>
      </c>
      <c r="AZ102" s="119">
        <f t="shared" ref="AZ102:BA102" si="494">AZ27</f>
        <v>613741.15145865106</v>
      </c>
      <c r="BA102" s="119">
        <f t="shared" si="494"/>
        <v>589292.05753938889</v>
      </c>
      <c r="BB102" s="119">
        <f t="shared" ref="BB102:BC102" si="495">BB27</f>
        <v>598009.44432199991</v>
      </c>
      <c r="BC102" s="119">
        <f t="shared" si="495"/>
        <v>601732.01513000007</v>
      </c>
      <c r="BD102" s="2"/>
      <c r="BE102" s="2"/>
    </row>
    <row r="103" spans="1:57">
      <c r="A103" s="2"/>
      <c r="B103" s="85"/>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111"/>
      <c r="AG103" s="111"/>
      <c r="AH103" s="111"/>
      <c r="AI103" s="111"/>
      <c r="AJ103" s="111"/>
      <c r="AK103" s="111"/>
      <c r="AL103" s="111"/>
      <c r="AM103" s="111"/>
      <c r="AN103" s="111"/>
      <c r="AO103" s="111"/>
      <c r="AP103" s="111"/>
      <c r="AQ103" s="111"/>
      <c r="AR103" s="111"/>
      <c r="AS103" s="111"/>
      <c r="AT103" s="111"/>
      <c r="AU103" s="111"/>
      <c r="AV103" s="111"/>
      <c r="AW103" s="111"/>
      <c r="AX103" s="111"/>
      <c r="AY103" s="111"/>
      <c r="AZ103" s="111"/>
      <c r="BA103" s="111"/>
      <c r="BB103" s="111"/>
      <c r="BC103" s="111"/>
      <c r="BD103" s="2"/>
      <c r="BE103" s="2"/>
    </row>
    <row r="104" spans="1:57">
      <c r="A104" s="2"/>
      <c r="B104" s="85"/>
      <c r="C104" s="85"/>
      <c r="D104" s="85"/>
      <c r="E104" s="85"/>
      <c r="F104" s="85"/>
      <c r="G104" s="85"/>
      <c r="H104" s="85"/>
      <c r="I104" s="85"/>
      <c r="J104" s="85"/>
      <c r="K104" s="85"/>
      <c r="L104" s="85"/>
      <c r="M104" s="85"/>
      <c r="N104" s="85"/>
      <c r="O104" s="85"/>
      <c r="P104" s="85"/>
      <c r="Q104" s="85"/>
      <c r="R104" s="85"/>
      <c r="S104" s="85"/>
      <c r="T104" s="85"/>
      <c r="U104" s="85"/>
      <c r="V104" s="85"/>
      <c r="W104" s="85"/>
      <c r="X104" s="85"/>
      <c r="Y104" s="85"/>
      <c r="Z104" s="85"/>
      <c r="AA104" s="85"/>
      <c r="AB104" s="85"/>
      <c r="AC104" s="85"/>
      <c r="AD104" s="85"/>
      <c r="AE104" s="85"/>
      <c r="AF104" s="111"/>
      <c r="AG104" s="111"/>
      <c r="AH104" s="111"/>
      <c r="AI104" s="111"/>
      <c r="AJ104" s="111"/>
      <c r="AK104" s="111"/>
      <c r="AL104" s="111"/>
      <c r="AM104" s="111"/>
      <c r="AN104" s="111"/>
      <c r="AO104" s="111"/>
      <c r="AP104" s="111"/>
      <c r="AQ104" s="111"/>
      <c r="AR104" s="111"/>
      <c r="AS104" s="111"/>
      <c r="AT104" s="111"/>
      <c r="AU104" s="111"/>
      <c r="AV104" s="111"/>
      <c r="AW104" s="111"/>
      <c r="AX104" s="111"/>
      <c r="AY104" s="111"/>
      <c r="AZ104" s="111"/>
      <c r="BA104" s="111"/>
      <c r="BB104" s="111"/>
      <c r="BC104" s="111"/>
      <c r="BD104" s="2"/>
      <c r="BE104" s="2"/>
    </row>
    <row r="105" spans="1:57">
      <c r="A105" s="2"/>
      <c r="B105" s="85"/>
      <c r="C105" s="85"/>
      <c r="D105" s="85"/>
      <c r="E105" s="85"/>
      <c r="F105" s="85"/>
      <c r="G105" s="85"/>
      <c r="H105" s="85"/>
      <c r="I105" s="85"/>
      <c r="J105" s="85"/>
      <c r="K105" s="85"/>
      <c r="L105" s="85"/>
      <c r="M105" s="85"/>
      <c r="N105" s="85"/>
      <c r="O105" s="85"/>
      <c r="P105" s="85"/>
      <c r="Q105" s="85"/>
      <c r="R105" s="85"/>
      <c r="S105" s="85"/>
      <c r="T105" s="85"/>
      <c r="U105" s="85"/>
      <c r="V105" s="85"/>
      <c r="W105" s="85"/>
      <c r="X105" s="85"/>
      <c r="Y105" s="85"/>
      <c r="Z105" s="85"/>
      <c r="AA105" s="85"/>
      <c r="AB105" s="85"/>
      <c r="AC105" s="85"/>
      <c r="AD105" s="85"/>
      <c r="AE105" s="111"/>
      <c r="AF105" s="111"/>
      <c r="AG105" s="111"/>
      <c r="AH105" s="111"/>
      <c r="AI105" s="111"/>
      <c r="AJ105" s="111"/>
      <c r="AK105" s="111"/>
      <c r="AL105" s="111"/>
      <c r="AM105" s="111"/>
      <c r="AN105" s="111"/>
      <c r="AO105" s="111"/>
      <c r="AP105" s="111"/>
      <c r="AQ105" s="111"/>
      <c r="AR105" s="111"/>
      <c r="AS105" s="111"/>
      <c r="AT105" s="111"/>
      <c r="AU105" s="111"/>
      <c r="AV105" s="111"/>
      <c r="AW105" s="111"/>
      <c r="AX105" s="111"/>
      <c r="AY105" s="111"/>
      <c r="AZ105" s="111"/>
      <c r="BA105" s="111"/>
      <c r="BB105" s="111"/>
      <c r="BC105" s="111"/>
      <c r="BD105" s="2"/>
      <c r="BE105" s="2"/>
    </row>
    <row r="106" spans="1:57">
      <c r="A106" s="2"/>
      <c r="B106" s="85"/>
      <c r="C106" s="85"/>
      <c r="D106" s="85"/>
      <c r="E106" s="85"/>
      <c r="F106" s="85"/>
      <c r="G106" s="85"/>
      <c r="H106" s="85"/>
      <c r="I106" s="85"/>
      <c r="J106" s="85"/>
      <c r="K106" s="85"/>
      <c r="L106" s="85"/>
      <c r="M106" s="85"/>
      <c r="N106" s="85"/>
      <c r="O106" s="85"/>
      <c r="P106" s="85"/>
      <c r="Q106" s="85"/>
      <c r="R106" s="85"/>
      <c r="S106" s="85"/>
      <c r="T106" s="85"/>
      <c r="U106" s="85"/>
      <c r="V106" s="85"/>
      <c r="W106" s="85"/>
      <c r="X106" s="85"/>
      <c r="Y106" s="85"/>
      <c r="Z106" s="85"/>
      <c r="AA106" s="85"/>
      <c r="AB106" s="85"/>
      <c r="AC106" s="85"/>
      <c r="AD106" s="85"/>
      <c r="AE106" s="111"/>
      <c r="AF106" s="111"/>
      <c r="AG106" s="111"/>
      <c r="AH106" s="111"/>
      <c r="AI106" s="111"/>
      <c r="AJ106" s="111"/>
      <c r="AK106" s="111"/>
      <c r="AL106" s="111"/>
      <c r="AM106" s="111"/>
      <c r="AN106" s="111"/>
      <c r="AO106" s="111"/>
      <c r="AP106" s="111"/>
      <c r="AQ106" s="111"/>
      <c r="AR106" s="111"/>
      <c r="AS106" s="111"/>
      <c r="AT106" s="111"/>
      <c r="AU106" s="111"/>
      <c r="AV106" s="111"/>
      <c r="AW106" s="111"/>
      <c r="AX106" s="111"/>
      <c r="AY106" s="111"/>
      <c r="AZ106" s="111"/>
      <c r="BA106" s="111"/>
      <c r="BB106" s="111"/>
      <c r="BC106" s="111"/>
      <c r="BD106" s="2"/>
      <c r="BE106" s="2"/>
    </row>
    <row r="107" spans="1:57">
      <c r="A107" s="2"/>
      <c r="B107" s="85"/>
      <c r="C107" s="85"/>
      <c r="D107" s="85"/>
      <c r="E107" s="85"/>
      <c r="F107" s="85"/>
      <c r="G107" s="85"/>
      <c r="H107" s="85"/>
      <c r="I107" s="85"/>
      <c r="J107" s="85"/>
      <c r="K107" s="85"/>
      <c r="L107" s="85"/>
      <c r="M107" s="85"/>
      <c r="N107" s="85"/>
      <c r="O107" s="85"/>
      <c r="P107" s="85"/>
      <c r="Q107" s="85"/>
      <c r="R107" s="85"/>
      <c r="S107" s="85"/>
      <c r="T107" s="85"/>
      <c r="U107" s="85"/>
      <c r="V107" s="85"/>
      <c r="W107" s="85"/>
      <c r="X107" s="85"/>
      <c r="Y107" s="85"/>
      <c r="Z107" s="85"/>
      <c r="AA107" s="85"/>
      <c r="AB107" s="85"/>
      <c r="AC107" s="85"/>
      <c r="AD107" s="85"/>
      <c r="AE107" s="111"/>
      <c r="AF107" s="111"/>
      <c r="AG107" s="111"/>
      <c r="AH107" s="111"/>
      <c r="AI107" s="111"/>
      <c r="AJ107" s="111"/>
      <c r="AK107" s="111"/>
      <c r="AL107" s="111"/>
      <c r="AM107" s="111"/>
      <c r="AN107" s="111"/>
      <c r="AO107" s="111"/>
      <c r="AP107" s="111"/>
      <c r="AQ107" s="111"/>
      <c r="AR107" s="111"/>
      <c r="AS107" s="111"/>
      <c r="AT107" s="111"/>
      <c r="AU107" s="111"/>
      <c r="AV107" s="111"/>
      <c r="AW107" s="111"/>
      <c r="AX107" s="111"/>
      <c r="AY107" s="111"/>
      <c r="AZ107" s="111"/>
      <c r="BA107" s="111"/>
      <c r="BB107" s="111"/>
      <c r="BC107" s="111"/>
      <c r="BD107" s="2"/>
      <c r="BE107" s="2"/>
    </row>
    <row r="108" spans="1:57">
      <c r="A108" s="2"/>
      <c r="B108" s="85"/>
      <c r="C108" s="85"/>
      <c r="D108" s="85"/>
      <c r="E108" s="85"/>
      <c r="F108" s="85"/>
      <c r="G108" s="85"/>
      <c r="H108" s="85"/>
      <c r="I108" s="85"/>
      <c r="J108" s="85"/>
      <c r="K108" s="85"/>
      <c r="L108" s="85"/>
      <c r="M108" s="85"/>
      <c r="N108" s="85"/>
      <c r="O108" s="85"/>
      <c r="P108" s="85"/>
      <c r="Q108" s="85"/>
      <c r="R108" s="85"/>
      <c r="S108" s="85"/>
      <c r="T108" s="85"/>
      <c r="U108" s="85"/>
      <c r="V108" s="85"/>
      <c r="W108" s="85"/>
      <c r="X108" s="85"/>
      <c r="Y108" s="85"/>
      <c r="Z108" s="85"/>
      <c r="AA108" s="85"/>
      <c r="AB108" s="85"/>
      <c r="AC108" s="85"/>
      <c r="AD108" s="85"/>
      <c r="AE108" s="111"/>
      <c r="AF108" s="111"/>
      <c r="AG108" s="111"/>
      <c r="AH108" s="111"/>
      <c r="AI108" s="111"/>
      <c r="AJ108" s="111"/>
      <c r="AK108" s="111"/>
      <c r="AL108" s="111"/>
      <c r="AM108" s="111"/>
      <c r="AN108" s="111"/>
      <c r="AO108" s="111"/>
      <c r="AP108" s="111"/>
      <c r="AQ108" s="111"/>
      <c r="AR108" s="111"/>
      <c r="AS108" s="111"/>
      <c r="AT108" s="111"/>
      <c r="AU108" s="111"/>
      <c r="AV108" s="111"/>
      <c r="AW108" s="111"/>
      <c r="AX108" s="111"/>
      <c r="AY108" s="111"/>
      <c r="AZ108" s="111"/>
      <c r="BA108" s="111"/>
      <c r="BB108" s="111"/>
      <c r="BC108" s="111"/>
      <c r="BD108" s="2"/>
      <c r="BE108" s="2"/>
    </row>
    <row r="109" spans="1:57">
      <c r="A109" s="2"/>
      <c r="B109" s="85"/>
      <c r="C109" s="85"/>
      <c r="D109" s="85"/>
      <c r="E109" s="85"/>
      <c r="F109" s="85"/>
      <c r="G109" s="85"/>
      <c r="H109" s="85"/>
      <c r="I109" s="85"/>
      <c r="J109" s="85"/>
      <c r="K109" s="85"/>
      <c r="L109" s="85"/>
      <c r="M109" s="85"/>
      <c r="N109" s="85"/>
      <c r="O109" s="85"/>
      <c r="P109" s="85"/>
      <c r="Q109" s="85"/>
      <c r="R109" s="85"/>
      <c r="S109" s="85"/>
      <c r="T109" s="85"/>
      <c r="U109" s="85"/>
      <c r="V109" s="85"/>
      <c r="W109" s="85"/>
      <c r="X109" s="85"/>
      <c r="Y109" s="85"/>
      <c r="Z109" s="85"/>
      <c r="AA109" s="85"/>
      <c r="AB109" s="85"/>
      <c r="AC109" s="85"/>
      <c r="AD109" s="85"/>
      <c r="AE109" s="111"/>
      <c r="AF109" s="111"/>
      <c r="AG109" s="111"/>
      <c r="AH109" s="111"/>
      <c r="AI109" s="111"/>
      <c r="AJ109" s="111"/>
      <c r="AK109" s="111"/>
      <c r="AL109" s="111"/>
      <c r="AM109" s="111"/>
      <c r="AN109" s="111"/>
      <c r="AO109" s="111"/>
      <c r="AP109" s="111"/>
      <c r="AQ109" s="111"/>
      <c r="AR109" s="111"/>
      <c r="AS109" s="111"/>
      <c r="AT109" s="111"/>
      <c r="AU109" s="111"/>
      <c r="AV109" s="111"/>
      <c r="AW109" s="111"/>
      <c r="AX109" s="111"/>
      <c r="AY109" s="111"/>
      <c r="AZ109" s="111"/>
      <c r="BA109" s="111"/>
      <c r="BB109" s="111"/>
      <c r="BC109" s="111"/>
      <c r="BD109" s="2"/>
      <c r="BE109" s="2"/>
    </row>
    <row r="110" spans="1:57">
      <c r="A110" s="2"/>
      <c r="B110" s="85"/>
      <c r="C110" s="85"/>
      <c r="D110" s="85"/>
      <c r="E110" s="85"/>
      <c r="F110" s="85"/>
      <c r="G110" s="85"/>
      <c r="H110" s="85"/>
      <c r="I110" s="85"/>
      <c r="J110" s="85"/>
      <c r="K110" s="85"/>
      <c r="L110" s="85"/>
      <c r="M110" s="85"/>
      <c r="N110" s="85"/>
      <c r="O110" s="85"/>
      <c r="P110" s="85"/>
      <c r="Q110" s="85"/>
      <c r="R110" s="85"/>
      <c r="S110" s="85"/>
      <c r="T110" s="85"/>
      <c r="U110" s="85"/>
      <c r="V110" s="85"/>
      <c r="W110" s="85"/>
      <c r="X110" s="85"/>
      <c r="Y110" s="85"/>
      <c r="Z110" s="85"/>
      <c r="AA110" s="85"/>
      <c r="AB110" s="85"/>
      <c r="AC110" s="85"/>
      <c r="AD110" s="85"/>
      <c r="AE110" s="111"/>
      <c r="AF110" s="111"/>
      <c r="AG110" s="111"/>
      <c r="AH110" s="111"/>
      <c r="AI110" s="111"/>
      <c r="AJ110" s="111"/>
      <c r="AK110" s="111"/>
      <c r="AL110" s="111"/>
      <c r="AM110" s="111"/>
      <c r="AN110" s="111"/>
      <c r="AO110" s="111"/>
      <c r="AP110" s="111"/>
      <c r="AQ110" s="111"/>
      <c r="AR110" s="111"/>
      <c r="AS110" s="111"/>
      <c r="AT110" s="111"/>
      <c r="AU110" s="111"/>
      <c r="AV110" s="111"/>
      <c r="AW110" s="111"/>
      <c r="AX110" s="111"/>
      <c r="AY110" s="111"/>
      <c r="AZ110" s="111"/>
      <c r="BA110" s="111"/>
      <c r="BB110" s="111"/>
      <c r="BC110" s="111"/>
      <c r="BD110" s="2"/>
      <c r="BE110" s="2"/>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H117"/>
  <sheetViews>
    <sheetView showGridLines="0" zoomScale="70" zoomScaleNormal="70" workbookViewId="0">
      <pane xSplit="1" ySplit="1" topLeftCell="AT2" activePane="bottomRight" state="frozen"/>
      <selection activeCell="BA80" sqref="BA80"/>
      <selection pane="topRight" activeCell="BA80" sqref="BA80"/>
      <selection pane="bottomLeft" activeCell="BA80" sqref="BA80"/>
      <selection pane="bottomRight" activeCell="BD29" sqref="BD29"/>
    </sheetView>
  </sheetViews>
  <sheetFormatPr defaultColWidth="9.234375" defaultRowHeight="15.35"/>
  <cols>
    <col min="1" max="1" width="48.234375" style="6" bestFit="1" customWidth="1"/>
    <col min="2" max="2" width="10.52734375" style="6" bestFit="1" customWidth="1"/>
    <col min="3" max="4" width="11" style="6" bestFit="1" customWidth="1"/>
    <col min="5" max="11" width="10.52734375" style="6" bestFit="1" customWidth="1"/>
    <col min="12" max="13" width="10.52734375" style="6" customWidth="1"/>
    <col min="14" max="14" width="12" style="6" customWidth="1"/>
    <col min="15" max="23" width="10.52734375" style="6" bestFit="1" customWidth="1"/>
    <col min="24" max="24" width="14.76171875" style="6" bestFit="1" customWidth="1"/>
    <col min="25" max="30" width="10.52734375" style="6" bestFit="1" customWidth="1"/>
    <col min="31" max="31" width="10.52734375" style="21" bestFit="1" customWidth="1"/>
    <col min="32" max="39" width="11.52734375" style="21" bestFit="1" customWidth="1"/>
    <col min="40" max="41" width="11.76171875" style="21" bestFit="1" customWidth="1"/>
    <col min="42" max="44" width="11.52734375" style="21" bestFit="1" customWidth="1"/>
    <col min="45" max="45" width="12.234375" style="21" bestFit="1" customWidth="1"/>
    <col min="46" max="46" width="11.52734375" style="21" bestFit="1" customWidth="1"/>
    <col min="47" max="51" width="12.234375" style="21" bestFit="1" customWidth="1"/>
    <col min="52" max="55" width="12.41015625" style="21" bestFit="1" customWidth="1"/>
    <col min="56" max="56" width="4.76171875" style="6" customWidth="1"/>
    <col min="57" max="57" width="85" style="6" bestFit="1" customWidth="1"/>
    <col min="58" max="16384" width="9.234375" style="6"/>
  </cols>
  <sheetData>
    <row r="1" spans="1:57" s="30" customFormat="1">
      <c r="A1" s="508" t="s">
        <v>27</v>
      </c>
      <c r="B1" s="509" t="s">
        <v>0</v>
      </c>
      <c r="C1" s="509" t="s">
        <v>1</v>
      </c>
      <c r="D1" s="509" t="s">
        <v>2</v>
      </c>
      <c r="E1" s="512" t="str">
        <f>'Reported Group Profit and Loss'!E1</f>
        <v>4Q12</v>
      </c>
      <c r="F1" s="512" t="str">
        <f>'Reported Group Profit and Loss'!F1</f>
        <v>1Q13</v>
      </c>
      <c r="G1" s="512" t="str">
        <f>'Reported Group Profit and Loss'!G1</f>
        <v>2Q13</v>
      </c>
      <c r="H1" s="512" t="str">
        <f>'Reported Group Profit and Loss'!H1</f>
        <v>3Q13</v>
      </c>
      <c r="I1" s="512" t="str">
        <f>'Reported Group Profit and Loss'!I1</f>
        <v>4Q13</v>
      </c>
      <c r="J1" s="512" t="str">
        <f>'Reported Group Profit and Loss'!J1</f>
        <v>1Q14</v>
      </c>
      <c r="K1" s="512" t="str">
        <f>'Reported Group Profit and Loss'!K1</f>
        <v>2Q14</v>
      </c>
      <c r="L1" s="512" t="str">
        <f>'Reported Group Profit and Loss'!L1</f>
        <v>3Q14</v>
      </c>
      <c r="M1" s="512" t="str">
        <f>'Reported Group Profit and Loss'!M1</f>
        <v>4Q14</v>
      </c>
      <c r="N1" s="512" t="str">
        <f>'Reported Group Profit and Loss'!N1</f>
        <v>1Q15</v>
      </c>
      <c r="O1" s="512" t="str">
        <f>'Reported Group Profit and Loss'!O1</f>
        <v>2Q15</v>
      </c>
      <c r="P1" s="512" t="str">
        <f>'Reported Group Profit and Loss'!P1</f>
        <v>3Q15</v>
      </c>
      <c r="Q1" s="512" t="str">
        <f>'Reported Group Profit and Loss'!Q1</f>
        <v>4Q15</v>
      </c>
      <c r="R1" s="512" t="str">
        <f>'Reported Group Profit and Loss'!R1</f>
        <v>1Q16</v>
      </c>
      <c r="S1" s="512" t="str">
        <f>'Reported Group Profit and Loss'!S1</f>
        <v>2Q16</v>
      </c>
      <c r="T1" s="512" t="str">
        <f>'Reported Group Profit and Loss'!T1</f>
        <v>3Q16</v>
      </c>
      <c r="U1" s="512" t="str">
        <f>'Reported Group Profit and Loss'!U1</f>
        <v>4Q16</v>
      </c>
      <c r="V1" s="512" t="str">
        <f>'Reported Group Profit and Loss'!V1</f>
        <v>1Q17</v>
      </c>
      <c r="W1" s="512" t="str">
        <f>'Reported Group Profit and Loss'!W1</f>
        <v>2Q17</v>
      </c>
      <c r="X1" s="512" t="str">
        <f>'Reported Group Profit and Loss'!X1</f>
        <v>3Q17</v>
      </c>
      <c r="Y1" s="512" t="str">
        <f>'Reported Group Profit and Loss'!Y1</f>
        <v>4Q17</v>
      </c>
      <c r="Z1" s="512" t="str">
        <f>'Reported Group Profit and Loss'!Z1</f>
        <v>1Q18</v>
      </c>
      <c r="AA1" s="512" t="str">
        <f>'Reported Group Profit and Loss'!AA1</f>
        <v>2Q18</v>
      </c>
      <c r="AB1" s="512" t="str">
        <f>'Reported Group Profit and Loss'!AB1</f>
        <v>3Q18</v>
      </c>
      <c r="AC1" s="512" t="str">
        <f>'Reported Group Profit and Loss'!AC1</f>
        <v>4Q18</v>
      </c>
      <c r="AD1" s="512" t="str">
        <f>'Reported Group Profit and Loss'!AD1</f>
        <v>1Q19</v>
      </c>
      <c r="AE1" s="512" t="str">
        <f>'Reported Group Profit and Loss'!AE1</f>
        <v>2Q19</v>
      </c>
      <c r="AF1" s="512" t="str">
        <f>'Reported Group Profit and Loss'!AF1</f>
        <v>3Q19</v>
      </c>
      <c r="AG1" s="512" t="str">
        <f>'Reported Group Profit and Loss'!AG1</f>
        <v>4Q19</v>
      </c>
      <c r="AH1" s="512" t="str">
        <f>'Reported Group Profit and Loss'!AH1</f>
        <v>1Q20</v>
      </c>
      <c r="AI1" s="512" t="str">
        <f>'Reported Group Profit and Loss'!AI1</f>
        <v>2Q20</v>
      </c>
      <c r="AJ1" s="512" t="str">
        <f>'Reported Group Profit and Loss'!AJ1</f>
        <v>3Q20</v>
      </c>
      <c r="AK1" s="512" t="str">
        <f>'Reported Group Profit and Loss'!AK1</f>
        <v>4Q20</v>
      </c>
      <c r="AL1" s="512" t="str">
        <f>'Reported Group Profit and Loss'!AL1</f>
        <v>1Q21</v>
      </c>
      <c r="AM1" s="512" t="str">
        <f>'Reported Group Profit and Loss'!AM1</f>
        <v>2Q21</v>
      </c>
      <c r="AN1" s="512" t="str">
        <f>'Reported Group Profit and Loss'!AN1</f>
        <v>3Q21</v>
      </c>
      <c r="AO1" s="512" t="str">
        <f>'Reported Group Profit and Loss'!AO1</f>
        <v>4Q21</v>
      </c>
      <c r="AP1" s="512" t="str">
        <f>'Reported Group Profit and Loss'!AP1</f>
        <v>1Q22</v>
      </c>
      <c r="AQ1" s="512" t="str">
        <f>'Reported Group Profit and Loss'!AQ1</f>
        <v>2Q22</v>
      </c>
      <c r="AR1" s="512" t="str">
        <f>'Reported Group Profit and Loss'!AR1</f>
        <v>3Q22</v>
      </c>
      <c r="AS1" s="512" t="str">
        <f>'Reported Group Profit and Loss'!AS1</f>
        <v>4Q22</v>
      </c>
      <c r="AT1" s="512" t="str">
        <f>'Reported Group Profit and Loss'!AT1</f>
        <v>1Q23</v>
      </c>
      <c r="AU1" s="512" t="str">
        <f>'Reported Group Profit and Loss'!AU1</f>
        <v>2Q23</v>
      </c>
      <c r="AV1" s="512" t="str">
        <f>'Reported Group Profit and Loss'!AV1</f>
        <v>3Q23</v>
      </c>
      <c r="AW1" s="512" t="str">
        <f>'Reported Group Profit and Loss'!AW1</f>
        <v>4Q23</v>
      </c>
      <c r="AX1" s="512" t="str">
        <f>'Reported Group Profit and Loss'!AX1</f>
        <v>1Q24</v>
      </c>
      <c r="AY1" s="512" t="str">
        <f>'Reported Group Profit and Loss'!AY1</f>
        <v>2Q24</v>
      </c>
      <c r="AZ1" s="512" t="str">
        <f>'Reported Group Profit and Loss'!AZ1</f>
        <v>3Q24</v>
      </c>
      <c r="BA1" s="512" t="str">
        <f>'Reported Group Profit and Loss'!BA1</f>
        <v>4Q24</v>
      </c>
      <c r="BB1" s="512" t="str">
        <f>'Reported Group Profit and Loss'!BB1</f>
        <v>1Q25</v>
      </c>
      <c r="BC1" s="512" t="str">
        <f>'Reported Group Profit and Loss'!BC1</f>
        <v>2Q25</v>
      </c>
      <c r="BD1" s="508"/>
      <c r="BE1" s="508" t="s">
        <v>209</v>
      </c>
    </row>
    <row r="2" spans="1:57" s="30" customFormat="1">
      <c r="A2" s="508" t="s">
        <v>170</v>
      </c>
      <c r="B2" s="509"/>
      <c r="C2" s="509"/>
      <c r="D2" s="509"/>
      <c r="E2" s="509"/>
      <c r="F2" s="509"/>
      <c r="G2" s="509"/>
      <c r="H2" s="509"/>
      <c r="I2" s="509"/>
      <c r="J2" s="509"/>
      <c r="K2" s="509"/>
      <c r="L2" s="509"/>
      <c r="M2" s="509"/>
      <c r="N2" s="509"/>
      <c r="O2" s="509"/>
      <c r="P2" s="509"/>
      <c r="Q2" s="509"/>
      <c r="R2" s="509"/>
      <c r="S2" s="509"/>
      <c r="T2" s="509"/>
      <c r="U2" s="509"/>
      <c r="V2" s="509"/>
      <c r="W2" s="509"/>
      <c r="X2" s="509"/>
      <c r="Y2" s="509"/>
      <c r="Z2" s="509"/>
      <c r="AA2" s="509"/>
      <c r="AB2" s="509"/>
      <c r="AC2" s="509"/>
      <c r="AD2" s="509"/>
      <c r="AE2" s="512"/>
      <c r="AF2" s="512"/>
      <c r="AG2" s="512"/>
      <c r="AH2" s="512"/>
      <c r="AI2" s="512"/>
      <c r="AJ2" s="512"/>
      <c r="AK2" s="512"/>
      <c r="AL2" s="512"/>
      <c r="AM2" s="512"/>
      <c r="AN2" s="512"/>
      <c r="AO2" s="512"/>
      <c r="AP2" s="512"/>
      <c r="AQ2" s="512"/>
      <c r="AR2" s="512"/>
      <c r="AS2" s="512"/>
      <c r="AT2" s="512"/>
      <c r="AU2" s="512"/>
      <c r="AV2" s="512"/>
      <c r="AW2" s="512"/>
      <c r="AX2" s="512"/>
      <c r="AY2" s="512"/>
      <c r="AZ2" s="512"/>
      <c r="BA2" s="512"/>
      <c r="BB2" s="512"/>
      <c r="BC2" s="512"/>
      <c r="BD2" s="508"/>
      <c r="BE2" s="508"/>
    </row>
    <row r="3" spans="1:57">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2"/>
      <c r="BE3" s="2" t="s">
        <v>778</v>
      </c>
    </row>
    <row r="4" spans="1:57" s="30" customFormat="1">
      <c r="A4" s="508" t="s">
        <v>172</v>
      </c>
      <c r="B4" s="509"/>
      <c r="C4" s="509"/>
      <c r="D4" s="509"/>
      <c r="E4" s="509"/>
      <c r="F4" s="509"/>
      <c r="G4" s="509"/>
      <c r="H4" s="509"/>
      <c r="I4" s="509"/>
      <c r="J4" s="509"/>
      <c r="K4" s="509"/>
      <c r="L4" s="509"/>
      <c r="M4" s="509"/>
      <c r="N4" s="509" t="s">
        <v>579</v>
      </c>
      <c r="O4" s="509"/>
      <c r="P4" s="509"/>
      <c r="Q4" s="509"/>
      <c r="R4" s="509"/>
      <c r="S4" s="509"/>
      <c r="T4" s="509"/>
      <c r="U4" s="509"/>
      <c r="V4" s="509"/>
      <c r="W4" s="509"/>
      <c r="X4" s="509" t="s">
        <v>582</v>
      </c>
      <c r="Y4" s="509"/>
      <c r="Z4" s="509"/>
      <c r="AA4" s="509"/>
      <c r="AB4" s="509"/>
      <c r="AC4" s="509"/>
      <c r="AD4" s="509"/>
      <c r="AE4" s="512"/>
      <c r="AF4" s="512"/>
      <c r="AG4" s="512"/>
      <c r="AH4" s="512"/>
      <c r="AI4" s="521"/>
      <c r="AJ4" s="521"/>
      <c r="AK4" s="521"/>
      <c r="AL4" s="521"/>
      <c r="AM4" s="521"/>
      <c r="AN4" s="512"/>
      <c r="AO4" s="512"/>
      <c r="AP4" s="512"/>
      <c r="AQ4" s="512"/>
      <c r="AR4" s="512"/>
      <c r="AS4" s="512"/>
      <c r="AT4" s="512"/>
      <c r="AU4" s="512"/>
      <c r="AV4" s="512"/>
      <c r="AW4" s="512"/>
      <c r="AX4" s="512"/>
      <c r="AY4" s="512"/>
      <c r="AZ4" s="512"/>
      <c r="BA4" s="512"/>
      <c r="BB4" s="512"/>
      <c r="BC4" s="512"/>
      <c r="BD4" s="508"/>
      <c r="BE4" s="508"/>
    </row>
    <row r="5" spans="1:57" s="21" customFormat="1">
      <c r="A5" s="14" t="s">
        <v>171</v>
      </c>
      <c r="B5" s="223">
        <v>46305</v>
      </c>
      <c r="C5" s="223">
        <v>48437</v>
      </c>
      <c r="D5" s="223">
        <v>50949</v>
      </c>
      <c r="E5" s="223">
        <v>53139.894</v>
      </c>
      <c r="F5" s="223">
        <v>55854.577296392024</v>
      </c>
      <c r="G5" s="223">
        <v>58666.576999999997</v>
      </c>
      <c r="H5" s="223">
        <v>61687.247499999998</v>
      </c>
      <c r="I5" s="223">
        <v>63717.822990000001</v>
      </c>
      <c r="J5" s="223">
        <v>64203.376420000001</v>
      </c>
      <c r="K5" s="223">
        <v>66378.459000000003</v>
      </c>
      <c r="L5" s="223">
        <v>68307.370999999999</v>
      </c>
      <c r="M5" s="223">
        <v>69443.122000000003</v>
      </c>
      <c r="N5" s="223">
        <v>69085.806689999998</v>
      </c>
      <c r="O5" s="223">
        <v>71366.826000000001</v>
      </c>
      <c r="P5" s="223">
        <v>74598.626000000004</v>
      </c>
      <c r="Q5" s="223">
        <v>76262.792000000016</v>
      </c>
      <c r="R5" s="223">
        <v>78323.356</v>
      </c>
      <c r="S5" s="223">
        <v>80834.590000000011</v>
      </c>
      <c r="T5" s="224">
        <v>76345.63</v>
      </c>
      <c r="U5" s="224">
        <v>74675.19</v>
      </c>
      <c r="V5" s="224">
        <v>75768.582000000009</v>
      </c>
      <c r="W5" s="224">
        <v>78145.122999999992</v>
      </c>
      <c r="X5" s="269">
        <v>76925.164000000004</v>
      </c>
      <c r="Y5" s="269">
        <v>76726.374000000011</v>
      </c>
      <c r="Z5" s="269">
        <v>76860.904823999997</v>
      </c>
      <c r="AA5" s="269">
        <v>78741.75999999998</v>
      </c>
      <c r="AB5" s="269">
        <v>84129.551000000007</v>
      </c>
      <c r="AC5" s="269">
        <v>89262.401999999987</v>
      </c>
      <c r="AD5" s="269">
        <v>91192.750320000006</v>
      </c>
      <c r="AE5" s="269">
        <v>94095.653319999998</v>
      </c>
      <c r="AF5" s="269">
        <v>97922</v>
      </c>
      <c r="AG5" s="269">
        <v>98851</v>
      </c>
      <c r="AH5" s="269">
        <v>99670.340999999986</v>
      </c>
      <c r="AI5" s="269">
        <v>103881</v>
      </c>
      <c r="AJ5" s="269">
        <v>107139.561145</v>
      </c>
      <c r="AK5" s="269">
        <v>110604</v>
      </c>
      <c r="AL5" s="269">
        <v>111460.67432000001</v>
      </c>
      <c r="AM5" s="269">
        <v>116371.03</v>
      </c>
      <c r="AN5" s="269">
        <v>118903.22699999998</v>
      </c>
      <c r="AO5" s="269">
        <v>118192.269</v>
      </c>
      <c r="AP5" s="269">
        <v>120796</v>
      </c>
      <c r="AQ5" s="269">
        <v>122697</v>
      </c>
      <c r="AR5" s="269">
        <v>125762</v>
      </c>
      <c r="AS5" s="269">
        <v>128428</v>
      </c>
      <c r="AT5" s="269">
        <v>131555.698</v>
      </c>
      <c r="AU5" s="269">
        <v>134660</v>
      </c>
      <c r="AV5" s="269">
        <v>138501.73799999998</v>
      </c>
      <c r="AW5" s="269">
        <v>140047.571</v>
      </c>
      <c r="AX5" s="269">
        <v>143103.09099999999</v>
      </c>
      <c r="AY5" s="269">
        <v>147665.76200000002</v>
      </c>
      <c r="AZ5" s="269">
        <v>151170.64299999998</v>
      </c>
      <c r="BA5" s="269">
        <v>152718.57600000003</v>
      </c>
      <c r="BB5" s="269">
        <v>155416.47188699999</v>
      </c>
      <c r="BC5" s="269">
        <v>156642.493842</v>
      </c>
      <c r="BD5" s="14"/>
      <c r="BE5" s="14"/>
    </row>
    <row r="6" spans="1:57" s="21" customFormat="1">
      <c r="A6" s="14" t="s">
        <v>362</v>
      </c>
      <c r="B6" s="223"/>
      <c r="C6" s="223"/>
      <c r="D6" s="223"/>
      <c r="E6" s="225">
        <v>0.84491509624276706</v>
      </c>
      <c r="F6" s="225">
        <v>0.85274940665331167</v>
      </c>
      <c r="G6" s="225">
        <v>0.8580545361322599</v>
      </c>
      <c r="H6" s="225">
        <v>0.86119444805022305</v>
      </c>
      <c r="I6" s="225">
        <v>0.85859422325268953</v>
      </c>
      <c r="J6" s="225">
        <v>0.86695894221641023</v>
      </c>
      <c r="K6" s="225">
        <v>0.86810641385935161</v>
      </c>
      <c r="L6" s="225">
        <v>0.8654847941036391</v>
      </c>
      <c r="M6" s="225">
        <v>0.86933362373625955</v>
      </c>
      <c r="N6" s="225">
        <v>0.86597365130581161</v>
      </c>
      <c r="O6" s="225">
        <v>0.85687282095917927</v>
      </c>
      <c r="P6" s="225">
        <v>0.83985084711881974</v>
      </c>
      <c r="Q6" s="225">
        <v>0.8392215412202586</v>
      </c>
      <c r="R6" s="225">
        <v>0.83526177172489902</v>
      </c>
      <c r="S6" s="225">
        <v>0.82411911229360302</v>
      </c>
      <c r="T6" s="225">
        <v>0.82287541500410699</v>
      </c>
      <c r="U6" s="225">
        <v>0.84681647184292386</v>
      </c>
      <c r="V6" s="225">
        <v>0.81841475336043645</v>
      </c>
      <c r="W6" s="225">
        <v>0.81194050574339749</v>
      </c>
      <c r="X6" s="278">
        <v>0.81075402647175365</v>
      </c>
      <c r="Y6" s="278">
        <v>0.80524227796819881</v>
      </c>
      <c r="Z6" s="278">
        <v>0.80314601748904357</v>
      </c>
      <c r="AA6" s="278">
        <v>0.82129284384804213</v>
      </c>
      <c r="AB6" s="278">
        <v>0.82130085895739535</v>
      </c>
      <c r="AC6" s="278">
        <v>0.83679705166347662</v>
      </c>
      <c r="AD6" s="278">
        <v>0.83333736363178035</v>
      </c>
      <c r="AE6" s="278">
        <v>0.8219551828921825</v>
      </c>
      <c r="AF6" s="226"/>
      <c r="AG6" s="226"/>
      <c r="AH6" s="226"/>
      <c r="AI6" s="226"/>
      <c r="AJ6" s="226"/>
      <c r="AK6" s="226"/>
      <c r="AL6" s="226"/>
      <c r="AM6" s="226"/>
      <c r="AN6" s="226"/>
      <c r="AO6" s="302"/>
      <c r="AP6" s="302"/>
      <c r="AQ6" s="302"/>
      <c r="AR6" s="302"/>
      <c r="AS6" s="302"/>
      <c r="AT6" s="302"/>
      <c r="AU6" s="302"/>
      <c r="AV6" s="302"/>
      <c r="AW6" s="302"/>
      <c r="AX6" s="302"/>
      <c r="AY6" s="302"/>
      <c r="AZ6" s="302"/>
      <c r="BA6" s="302"/>
      <c r="BB6" s="302"/>
      <c r="BC6" s="302"/>
      <c r="BD6" s="14"/>
      <c r="BE6" s="14"/>
    </row>
    <row r="7" spans="1:57" s="21" customFormat="1">
      <c r="A7" s="14" t="s">
        <v>99</v>
      </c>
      <c r="B7" s="223"/>
      <c r="C7" s="223">
        <f t="shared" ref="C7:D7" si="0">C5-B5</f>
        <v>2132</v>
      </c>
      <c r="D7" s="223">
        <f t="shared" si="0"/>
        <v>2512</v>
      </c>
      <c r="E7" s="223">
        <v>2190.6378281249854</v>
      </c>
      <c r="F7" s="223">
        <v>2714.6832963920242</v>
      </c>
      <c r="G7" s="223">
        <v>2811.9997036079731</v>
      </c>
      <c r="H7" s="223">
        <v>3020.1705000000002</v>
      </c>
      <c r="I7" s="223">
        <v>2030.5754900000029</v>
      </c>
      <c r="J7" s="223">
        <v>484.55342999999993</v>
      </c>
      <c r="K7" s="223">
        <v>2175.0825800000021</v>
      </c>
      <c r="L7" s="223">
        <v>1928.9119999999966</v>
      </c>
      <c r="M7" s="223">
        <v>1135.7510000000038</v>
      </c>
      <c r="N7" s="223">
        <v>-357.31531000000541</v>
      </c>
      <c r="O7" s="223">
        <v>2281.0193100000033</v>
      </c>
      <c r="P7" s="223">
        <v>3231.8000000000029</v>
      </c>
      <c r="Q7" s="223">
        <v>1664.166000000012</v>
      </c>
      <c r="R7" s="223">
        <v>2060.5639999999839</v>
      </c>
      <c r="S7" s="223">
        <v>2511.2340000000113</v>
      </c>
      <c r="T7" s="223">
        <v>910.03581000000122</v>
      </c>
      <c r="U7" s="223">
        <v>-1670.4400000000023</v>
      </c>
      <c r="V7" s="223">
        <v>1093.3920000000071</v>
      </c>
      <c r="W7" s="223">
        <v>2376.5409999999829</v>
      </c>
      <c r="X7" s="268">
        <v>2397.9550000000163</v>
      </c>
      <c r="Y7" s="268">
        <v>-198.7899999999936</v>
      </c>
      <c r="Z7" s="268">
        <v>134.53082399998675</v>
      </c>
      <c r="AA7" s="268">
        <v>1880.8551759999827</v>
      </c>
      <c r="AB7" s="268">
        <v>5387.7910000000265</v>
      </c>
      <c r="AC7" s="268">
        <v>5132.8509999999806</v>
      </c>
      <c r="AD7" s="268">
        <v>1930.3483200000192</v>
      </c>
      <c r="AE7" s="268">
        <v>2902.9029999999912</v>
      </c>
      <c r="AF7" s="268">
        <v>3827</v>
      </c>
      <c r="AG7" s="189">
        <f t="shared" ref="AG7:AO7" si="1">AG5-AF5</f>
        <v>929</v>
      </c>
      <c r="AH7" s="189">
        <f t="shared" si="1"/>
        <v>819.3409999999858</v>
      </c>
      <c r="AI7" s="189">
        <f t="shared" si="1"/>
        <v>4210.6590000000142</v>
      </c>
      <c r="AJ7" s="189">
        <f t="shared" si="1"/>
        <v>3258.5611449999997</v>
      </c>
      <c r="AK7" s="189">
        <f t="shared" si="1"/>
        <v>3464.4388550000003</v>
      </c>
      <c r="AL7" s="268">
        <v>856.85433600000397</v>
      </c>
      <c r="AM7" s="189">
        <f t="shared" si="1"/>
        <v>4910.3556799999933</v>
      </c>
      <c r="AN7" s="189">
        <f t="shared" si="1"/>
        <v>2532.1969999999856</v>
      </c>
      <c r="AO7" s="189">
        <f t="shared" si="1"/>
        <v>-710.95799999998417</v>
      </c>
      <c r="AP7" s="189">
        <f t="shared" ref="AP7:BC7" si="2">AP5-AO5</f>
        <v>2603.7309999999998</v>
      </c>
      <c r="AQ7" s="189">
        <f t="shared" si="2"/>
        <v>1901</v>
      </c>
      <c r="AR7" s="189">
        <f t="shared" si="2"/>
        <v>3065</v>
      </c>
      <c r="AS7" s="189">
        <f t="shared" si="2"/>
        <v>2666</v>
      </c>
      <c r="AT7" s="189">
        <f t="shared" si="2"/>
        <v>3127.698000000004</v>
      </c>
      <c r="AU7" s="189">
        <f t="shared" si="2"/>
        <v>3104.301999999996</v>
      </c>
      <c r="AV7" s="189">
        <f t="shared" si="2"/>
        <v>3841.737999999983</v>
      </c>
      <c r="AW7" s="189">
        <f t="shared" si="2"/>
        <v>1545.8330000000133</v>
      </c>
      <c r="AX7" s="189">
        <f t="shared" si="2"/>
        <v>3055.5199999999895</v>
      </c>
      <c r="AY7" s="189">
        <f t="shared" si="2"/>
        <v>4562.6710000000312</v>
      </c>
      <c r="AZ7" s="189">
        <f t="shared" si="2"/>
        <v>3504.8809999999648</v>
      </c>
      <c r="BA7" s="189">
        <f t="shared" si="2"/>
        <v>1547.9330000000482</v>
      </c>
      <c r="BB7" s="189">
        <f t="shared" si="2"/>
        <v>2697.8958869999624</v>
      </c>
      <c r="BC7" s="189">
        <f t="shared" si="2"/>
        <v>1226.0219550000038</v>
      </c>
      <c r="BD7" s="14"/>
      <c r="BE7" s="14"/>
    </row>
    <row r="8" spans="1:57" s="21" customFormat="1">
      <c r="A8" s="14" t="s">
        <v>379</v>
      </c>
      <c r="B8" s="223"/>
      <c r="C8" s="223"/>
      <c r="D8" s="223"/>
      <c r="E8" s="225">
        <v>0.99288775397256135</v>
      </c>
      <c r="F8" s="225">
        <v>0.9930937778104908</v>
      </c>
      <c r="G8" s="225">
        <v>0.99323504424476072</v>
      </c>
      <c r="H8" s="225">
        <v>0.99323504424476072</v>
      </c>
      <c r="I8" s="225">
        <v>0.99330473045089818</v>
      </c>
      <c r="J8" s="225">
        <v>0.99332513297748459</v>
      </c>
      <c r="K8" s="225">
        <v>0.99314734016347073</v>
      </c>
      <c r="L8" s="225">
        <v>0.99317483613884072</v>
      </c>
      <c r="M8" s="225">
        <v>0.9932139862605831</v>
      </c>
      <c r="N8" s="225">
        <v>0.9933938239724418</v>
      </c>
      <c r="O8" s="225">
        <v>0.99333408774547427</v>
      </c>
      <c r="P8" s="225">
        <v>0.99363063335777779</v>
      </c>
      <c r="Q8" s="225">
        <v>0.99363676588184702</v>
      </c>
      <c r="R8" s="225">
        <v>0.99363676588184702</v>
      </c>
      <c r="S8" s="225">
        <v>0.9935294634540659</v>
      </c>
      <c r="T8" s="225">
        <v>0.99286386136311933</v>
      </c>
      <c r="U8" s="225">
        <v>0.99244994220972149</v>
      </c>
      <c r="V8" s="225">
        <v>0.99201221688430175</v>
      </c>
      <c r="W8" s="225">
        <v>0.99210526548150679</v>
      </c>
      <c r="X8" s="278">
        <v>0.99232303229148777</v>
      </c>
      <c r="Y8" s="278">
        <v>0.9914568229172408</v>
      </c>
      <c r="Z8" s="278">
        <v>0.99046488815506184</v>
      </c>
      <c r="AA8" s="278">
        <v>0.9902599967285467</v>
      </c>
      <c r="AB8" s="278">
        <v>0.99142257397760269</v>
      </c>
      <c r="AC8" s="278">
        <v>0.98825535750203097</v>
      </c>
      <c r="AD8" s="278">
        <v>0.99184523484168985</v>
      </c>
      <c r="AE8" s="278">
        <v>0.99142469081695095</v>
      </c>
      <c r="AF8" s="226"/>
      <c r="AG8" s="226"/>
      <c r="AH8" s="226"/>
      <c r="AI8" s="226"/>
      <c r="AJ8" s="226"/>
      <c r="AK8" s="226"/>
      <c r="AL8" s="226"/>
      <c r="AM8" s="226"/>
      <c r="AN8" s="226"/>
      <c r="AO8" s="302"/>
      <c r="AP8" s="302"/>
      <c r="AQ8" s="302"/>
      <c r="AR8" s="302"/>
      <c r="AS8" s="302"/>
      <c r="AT8" s="302"/>
      <c r="AU8" s="302"/>
      <c r="AV8" s="302"/>
      <c r="AW8" s="302"/>
      <c r="AX8" s="302"/>
      <c r="AY8" s="302"/>
      <c r="AZ8" s="302"/>
      <c r="BA8" s="302"/>
      <c r="BB8" s="302"/>
      <c r="BC8" s="302"/>
      <c r="BD8" s="14"/>
      <c r="BE8" s="14"/>
    </row>
    <row r="9" spans="1:57" s="21" customFormat="1">
      <c r="A9" s="14" t="s">
        <v>364</v>
      </c>
      <c r="B9" s="223"/>
      <c r="C9" s="223"/>
      <c r="D9" s="223"/>
      <c r="E9" s="225">
        <v>5.2591109663500384E-2</v>
      </c>
      <c r="F9" s="225">
        <v>5.056355816752315E-2</v>
      </c>
      <c r="G9" s="225">
        <v>5.1315262754670028E-2</v>
      </c>
      <c r="H9" s="225">
        <v>5.1210205126477781E-2</v>
      </c>
      <c r="I9" s="225">
        <v>5.4763095693169561E-2</v>
      </c>
      <c r="J9" s="225">
        <v>6.7168335972452711E-2</v>
      </c>
      <c r="K9" s="225">
        <v>6.5575534796787391E-2</v>
      </c>
      <c r="L9" s="225">
        <v>6.7387195381416534E-2</v>
      </c>
      <c r="M9" s="225">
        <v>6.0507036196427548E-2</v>
      </c>
      <c r="N9" s="225">
        <v>7.0218301586310025E-2</v>
      </c>
      <c r="O9" s="225">
        <v>6.0750956732497162E-2</v>
      </c>
      <c r="P9" s="225">
        <v>5.5130865438765435E-2</v>
      </c>
      <c r="Q9" s="225">
        <v>5.7862632102157703E-2</v>
      </c>
      <c r="R9" s="225">
        <v>5.3998084757690801E-2</v>
      </c>
      <c r="S9" s="225">
        <v>5.8222673401511514E-2</v>
      </c>
      <c r="T9" s="225">
        <v>6.0037426888379375E-2</v>
      </c>
      <c r="U9" s="225">
        <v>6.8139187835046508E-2</v>
      </c>
      <c r="V9" s="225">
        <v>4.9104987960828204E-2</v>
      </c>
      <c r="W9" s="225">
        <v>5.2512616881371162E-2</v>
      </c>
      <c r="X9" s="278">
        <v>4.7189741396431117E-2</v>
      </c>
      <c r="Y9" s="278">
        <v>5.0614017174591241E-2</v>
      </c>
      <c r="Z9" s="278">
        <v>4.7887948439174967E-2</v>
      </c>
      <c r="AA9" s="278">
        <v>4.7308851052397426E-2</v>
      </c>
      <c r="AB9" s="278">
        <v>4.1489728247879422E-2</v>
      </c>
      <c r="AC9" s="278">
        <v>4.138754856431176E-2</v>
      </c>
      <c r="AD9" s="278">
        <v>4.8772166715214248E-2</v>
      </c>
      <c r="AE9" s="278">
        <v>4.8375413834365527E-2</v>
      </c>
      <c r="AF9" s="278">
        <v>4.7E-2</v>
      </c>
      <c r="AG9" s="278">
        <v>5.3999999999999999E-2</v>
      </c>
      <c r="AH9" s="278">
        <v>5.0397253308548301E-2</v>
      </c>
      <c r="AI9" s="278">
        <v>4.4999999999999998E-2</v>
      </c>
      <c r="AJ9" s="278">
        <v>5.2413785393450929E-2</v>
      </c>
      <c r="AK9" s="278">
        <v>5.345949185599902E-2</v>
      </c>
      <c r="AL9" s="278">
        <v>5.7400952285712355E-2</v>
      </c>
      <c r="AM9" s="278">
        <v>5.290542186531217E-2</v>
      </c>
      <c r="AN9" s="278">
        <v>5.0331051558104654E-2</v>
      </c>
      <c r="AO9" s="278">
        <v>3.8776976902931422E-2</v>
      </c>
      <c r="AP9" s="278">
        <v>3.5999999999999997E-2</v>
      </c>
      <c r="AQ9" s="278">
        <v>4.2999999999999997E-2</v>
      </c>
      <c r="AR9" s="278">
        <v>4.2000000000000003E-2</v>
      </c>
      <c r="AS9" s="278">
        <v>4.2999999999999997E-2</v>
      </c>
      <c r="AT9" s="278">
        <v>4.6235680883865503E-2</v>
      </c>
      <c r="AU9" s="278">
        <v>4.2000000000000003E-2</v>
      </c>
      <c r="AV9" s="278">
        <v>4.2427713483925156E-2</v>
      </c>
      <c r="AW9" s="278">
        <v>4.243484948932854E-2</v>
      </c>
      <c r="AX9" s="278">
        <v>4.243484948932854E-2</v>
      </c>
      <c r="AY9" s="278">
        <v>4.1060814196704438E-2</v>
      </c>
      <c r="AZ9" s="278">
        <v>4.2519580054444804E-2</v>
      </c>
      <c r="BA9" s="278">
        <v>4.5204238376226141E-2</v>
      </c>
      <c r="BB9" s="278">
        <v>4.029384352323729E-2</v>
      </c>
      <c r="BC9" s="278">
        <v>4.7002077959390563E-2</v>
      </c>
      <c r="BD9" s="14"/>
      <c r="BE9" s="14"/>
    </row>
    <row r="10" spans="1:57" s="21" customFormat="1">
      <c r="A10" s="14" t="s">
        <v>190</v>
      </c>
      <c r="B10" s="227">
        <v>7.3</v>
      </c>
      <c r="C10" s="227">
        <v>7.3</v>
      </c>
      <c r="D10" s="227">
        <v>7.1</v>
      </c>
      <c r="E10" s="228">
        <v>6.8271502786580198</v>
      </c>
      <c r="F10" s="228">
        <v>6.5352784738933734</v>
      </c>
      <c r="G10" s="228">
        <v>6.3804985920733683</v>
      </c>
      <c r="H10" s="228">
        <v>6.2267449632285503</v>
      </c>
      <c r="I10" s="228">
        <v>5.9204197228220563</v>
      </c>
      <c r="J10" s="228">
        <v>5.477264069503863</v>
      </c>
      <c r="K10" s="228">
        <v>5.7343696801141109</v>
      </c>
      <c r="L10" s="228">
        <v>5.8103591123418568</v>
      </c>
      <c r="M10" s="228">
        <v>5.5219647956308968</v>
      </c>
      <c r="N10" s="228">
        <v>5.6025065392114293</v>
      </c>
      <c r="O10" s="228">
        <v>4.6549975196651774</v>
      </c>
      <c r="P10" s="228">
        <v>4.5882697986318712</v>
      </c>
      <c r="Q10" s="228">
        <v>4.3471780194801406</v>
      </c>
      <c r="R10" s="228">
        <v>4.2558973029123246</v>
      </c>
      <c r="S10" s="228">
        <v>4.2554164218046449</v>
      </c>
      <c r="T10" s="228">
        <v>3.8412424854549143</v>
      </c>
      <c r="U10" s="228">
        <v>3.8520002610113409</v>
      </c>
      <c r="V10" s="228">
        <v>3.2442788071318733</v>
      </c>
      <c r="W10" s="228">
        <v>3.3084495387153141</v>
      </c>
      <c r="X10" s="296">
        <v>3.290412606355412</v>
      </c>
      <c r="Y10" s="296">
        <v>3.0944843588370046</v>
      </c>
      <c r="Z10" s="296">
        <v>3.0762581170034928</v>
      </c>
      <c r="AA10" s="296">
        <v>3.2279590380473278</v>
      </c>
      <c r="AB10" s="296">
        <v>3.2197265080854423</v>
      </c>
      <c r="AC10" s="296">
        <v>3.0387917247644705</v>
      </c>
      <c r="AD10" s="296">
        <v>2.9269610280172516</v>
      </c>
      <c r="AE10" s="296">
        <v>2.9656402187733186</v>
      </c>
      <c r="AF10" s="296">
        <v>3</v>
      </c>
      <c r="AG10" s="296">
        <v>2.7</v>
      </c>
      <c r="AH10" s="296">
        <v>2.6981759051100944</v>
      </c>
      <c r="AI10" s="296">
        <v>2.8</v>
      </c>
      <c r="AJ10" s="296">
        <v>2.8363994135982007</v>
      </c>
      <c r="AK10" s="296">
        <v>2.8187599484514219</v>
      </c>
      <c r="AL10" s="296">
        <v>2.5895257597125756</v>
      </c>
      <c r="AM10" s="296">
        <v>2.8174528388001563</v>
      </c>
      <c r="AN10" s="296">
        <v>2.9228582963710035</v>
      </c>
      <c r="AO10" s="296">
        <v>2.9889940075239321</v>
      </c>
      <c r="AP10" s="296">
        <v>3.1</v>
      </c>
      <c r="AQ10" s="296">
        <v>3.1</v>
      </c>
      <c r="AR10" s="296">
        <v>3.3</v>
      </c>
      <c r="AS10" s="296">
        <v>3.2</v>
      </c>
      <c r="AT10" s="296">
        <v>2.2355335586648697</v>
      </c>
      <c r="AU10" s="296">
        <v>2.3442897208143685</v>
      </c>
      <c r="AV10" s="296">
        <v>2.3736960150701298</v>
      </c>
      <c r="AW10" s="296">
        <v>2.3595298525711033</v>
      </c>
      <c r="AX10" s="296">
        <v>2.4553550540081823</v>
      </c>
      <c r="AY10" s="296">
        <v>2.5142292035249647</v>
      </c>
      <c r="AZ10" s="296">
        <v>2.5829338031307985</v>
      </c>
      <c r="BA10" s="296">
        <v>2.6222034979504945</v>
      </c>
      <c r="BB10" s="296">
        <v>2.1693185194777489</v>
      </c>
      <c r="BC10" s="296">
        <v>2.3041224718223705</v>
      </c>
      <c r="BD10" s="14"/>
      <c r="BE10" s="14"/>
    </row>
    <row r="11" spans="1:57" s="21" customFormat="1">
      <c r="A11" s="14"/>
      <c r="B11" s="223"/>
      <c r="C11" s="223"/>
      <c r="D11" s="223"/>
      <c r="E11" s="223"/>
      <c r="F11" s="223"/>
      <c r="G11" s="223"/>
      <c r="H11" s="223"/>
      <c r="I11" s="223"/>
      <c r="J11" s="223"/>
      <c r="K11" s="223"/>
      <c r="L11" s="223"/>
      <c r="M11" s="223"/>
      <c r="N11" s="223"/>
      <c r="O11" s="223"/>
      <c r="P11" s="223"/>
      <c r="Q11" s="223"/>
      <c r="R11" s="223"/>
      <c r="S11" s="223"/>
      <c r="T11" s="223"/>
      <c r="U11" s="223"/>
      <c r="V11" s="223"/>
      <c r="W11" s="223"/>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4"/>
      <c r="BE11" s="14"/>
    </row>
    <row r="12" spans="1:57" s="21" customFormat="1">
      <c r="A12" s="14" t="s">
        <v>380</v>
      </c>
      <c r="B12" s="223"/>
      <c r="C12" s="223"/>
      <c r="D12" s="223"/>
      <c r="E12" s="223">
        <v>24521.868550531377</v>
      </c>
      <c r="F12" s="223">
        <v>23134.315122691649</v>
      </c>
      <c r="G12" s="223">
        <v>22872.05501000243</v>
      </c>
      <c r="H12" s="223">
        <v>22725.262227463405</v>
      </c>
      <c r="I12" s="223">
        <v>21783.556832967322</v>
      </c>
      <c r="J12" s="223">
        <v>20438.369693892237</v>
      </c>
      <c r="K12" s="223">
        <v>21246.706122359228</v>
      </c>
      <c r="L12" s="223">
        <v>21992.549743295618</v>
      </c>
      <c r="M12" s="223">
        <v>21405.674091458914</v>
      </c>
      <c r="N12" s="223">
        <v>21627.598262870782</v>
      </c>
      <c r="O12" s="223">
        <v>18261.696494437314</v>
      </c>
      <c r="P12" s="223">
        <v>18281.40523198622</v>
      </c>
      <c r="Q12" s="223">
        <v>17617.659164840446</v>
      </c>
      <c r="R12" s="223">
        <v>17196.061582526399</v>
      </c>
      <c r="S12" s="223">
        <v>17448.61410915283</v>
      </c>
      <c r="T12" s="223">
        <v>15439.679090004378</v>
      </c>
      <c r="U12" s="223">
        <v>15114.401464767301</v>
      </c>
      <c r="V12" s="223">
        <v>12446.491462144424</v>
      </c>
      <c r="W12" s="223">
        <v>12794.773368903872</v>
      </c>
      <c r="X12" s="268">
        <v>13179.348881869946</v>
      </c>
      <c r="Y12" s="268">
        <v>12536.232956425478</v>
      </c>
      <c r="Z12" s="268">
        <v>12374.374385360838</v>
      </c>
      <c r="AA12" s="268">
        <v>13081.820109951128</v>
      </c>
      <c r="AB12" s="268">
        <v>13703.9247008656</v>
      </c>
      <c r="AC12" s="268">
        <v>13564.985052929487</v>
      </c>
      <c r="AD12" s="268">
        <v>13325.898850621137</v>
      </c>
      <c r="AE12" s="268">
        <v>13717.008856473447</v>
      </c>
      <c r="AF12" s="268">
        <v>13721</v>
      </c>
      <c r="AG12" s="268">
        <v>12888</v>
      </c>
      <c r="AH12" s="268">
        <v>12565</v>
      </c>
      <c r="AI12" s="268">
        <v>13100</v>
      </c>
      <c r="AJ12" s="268">
        <v>13485.499767300806</v>
      </c>
      <c r="AK12" s="268">
        <v>13576.673506838861</v>
      </c>
      <c r="AL12" s="189"/>
      <c r="AM12" s="189"/>
      <c r="AN12" s="189"/>
      <c r="AO12" s="189"/>
      <c r="AP12" s="189"/>
      <c r="AQ12" s="189"/>
      <c r="AR12" s="189"/>
      <c r="AS12" s="189"/>
      <c r="AT12" s="189"/>
      <c r="AU12" s="189"/>
      <c r="AV12" s="189"/>
      <c r="AW12" s="189"/>
      <c r="AX12" s="189"/>
      <c r="AY12" s="189"/>
      <c r="AZ12" s="189"/>
      <c r="BA12" s="189"/>
      <c r="BB12" s="189"/>
      <c r="BC12" s="189"/>
      <c r="BD12" s="14"/>
      <c r="BE12" s="14"/>
    </row>
    <row r="13" spans="1:57" s="21" customFormat="1" ht="5.25" customHeight="1">
      <c r="A13" s="14"/>
      <c r="B13" s="227"/>
      <c r="C13" s="227"/>
      <c r="D13" s="227"/>
      <c r="E13" s="227"/>
      <c r="F13" s="227"/>
      <c r="G13" s="227"/>
      <c r="H13" s="227"/>
      <c r="I13" s="227"/>
      <c r="J13" s="227"/>
      <c r="K13" s="227"/>
      <c r="L13" s="227"/>
      <c r="M13" s="227"/>
      <c r="N13" s="227"/>
      <c r="O13" s="227"/>
      <c r="P13" s="227"/>
      <c r="Q13" s="227"/>
      <c r="R13" s="227"/>
      <c r="S13" s="227"/>
      <c r="T13" s="227"/>
      <c r="U13" s="227"/>
      <c r="V13" s="227"/>
      <c r="W13" s="227"/>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4"/>
      <c r="BE13" s="14"/>
    </row>
    <row r="14" spans="1:57" s="21" customFormat="1" ht="5.25" customHeight="1">
      <c r="A14" s="14"/>
      <c r="B14" s="227"/>
      <c r="C14" s="227"/>
      <c r="D14" s="227"/>
      <c r="E14" s="227"/>
      <c r="F14" s="227"/>
      <c r="G14" s="227"/>
      <c r="H14" s="227"/>
      <c r="I14" s="227"/>
      <c r="J14" s="227"/>
      <c r="K14" s="227"/>
      <c r="L14" s="227"/>
      <c r="M14" s="227"/>
      <c r="N14" s="227"/>
      <c r="O14" s="227"/>
      <c r="P14" s="227"/>
      <c r="Q14" s="227"/>
      <c r="R14" s="227"/>
      <c r="S14" s="227"/>
      <c r="T14" s="227"/>
      <c r="U14" s="227"/>
      <c r="V14" s="227"/>
      <c r="W14" s="227"/>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4"/>
      <c r="BE14" s="14"/>
    </row>
    <row r="15" spans="1:57" s="21" customFormat="1">
      <c r="A15" s="14" t="s">
        <v>175</v>
      </c>
      <c r="B15" s="223">
        <v>16427.746500000001</v>
      </c>
      <c r="C15" s="223">
        <v>18190.464</v>
      </c>
      <c r="D15" s="223">
        <v>18634.875</v>
      </c>
      <c r="E15" s="223">
        <v>19131.254206161058</v>
      </c>
      <c r="F15" s="223">
        <v>19651.112222608077</v>
      </c>
      <c r="G15" s="223">
        <v>23646.284147161932</v>
      </c>
      <c r="H15" s="223">
        <v>26174.332173000003</v>
      </c>
      <c r="I15" s="223">
        <v>23360.213729999999</v>
      </c>
      <c r="J15" s="223">
        <v>25970.605877583661</v>
      </c>
      <c r="K15" s="223">
        <v>27848.222573794999</v>
      </c>
      <c r="L15" s="223">
        <v>28269.669640000004</v>
      </c>
      <c r="M15" s="223">
        <v>28154.621951550474</v>
      </c>
      <c r="N15" s="223">
        <v>28255.847850000006</v>
      </c>
      <c r="O15" s="223">
        <v>28965.68216</v>
      </c>
      <c r="P15" s="223">
        <v>30360.905740000002</v>
      </c>
      <c r="Q15" s="223">
        <v>31044.766409999993</v>
      </c>
      <c r="R15" s="223">
        <v>32790.573709999997</v>
      </c>
      <c r="S15" s="223">
        <v>34620.067939999994</v>
      </c>
      <c r="T15" s="223">
        <v>32609.606919999998</v>
      </c>
      <c r="U15" s="223">
        <v>33771.077839999998</v>
      </c>
      <c r="V15" s="223">
        <v>34191.338950000005</v>
      </c>
      <c r="W15" s="223">
        <v>36570.055139999989</v>
      </c>
      <c r="X15" s="268">
        <v>34403.839079999998</v>
      </c>
      <c r="Y15" s="268">
        <v>32637.590138</v>
      </c>
      <c r="Z15" s="268">
        <v>34527.443490999998</v>
      </c>
      <c r="AA15" s="268">
        <v>38406.249536000003</v>
      </c>
      <c r="AB15" s="268">
        <v>41927.667094999997</v>
      </c>
      <c r="AC15" s="268">
        <v>44688.001572999994</v>
      </c>
      <c r="AD15" s="268">
        <v>49666.103798000004</v>
      </c>
      <c r="AE15" s="268">
        <v>52356.700755000013</v>
      </c>
      <c r="AF15" s="268">
        <v>52445</v>
      </c>
      <c r="AG15" s="268">
        <v>52866</v>
      </c>
      <c r="AH15" s="268">
        <v>55329.243278999995</v>
      </c>
      <c r="AI15" s="268">
        <v>60795</v>
      </c>
      <c r="AJ15" s="268">
        <v>65086.240229999996</v>
      </c>
      <c r="AK15" s="268">
        <v>68869.606883999993</v>
      </c>
      <c r="AL15" s="268">
        <v>71890.876373999985</v>
      </c>
      <c r="AM15" s="268">
        <v>80375.304208999994</v>
      </c>
      <c r="AN15" s="268">
        <v>85650.82037500001</v>
      </c>
      <c r="AO15" s="268">
        <v>84963.599904999995</v>
      </c>
      <c r="AP15" s="268">
        <v>89026</v>
      </c>
      <c r="AQ15" s="268">
        <v>93821.461659999986</v>
      </c>
      <c r="AR15" s="268">
        <v>97411.959901999988</v>
      </c>
      <c r="AS15" s="268">
        <v>98408</v>
      </c>
      <c r="AT15" s="268">
        <v>103213.476322</v>
      </c>
      <c r="AU15" s="268">
        <v>109001.974434</v>
      </c>
      <c r="AV15" s="268">
        <v>113851.531158</v>
      </c>
      <c r="AW15" s="268">
        <v>113055.974136</v>
      </c>
      <c r="AX15" s="268">
        <v>119663.138477</v>
      </c>
      <c r="AY15" s="268">
        <v>125743.016601</v>
      </c>
      <c r="AZ15" s="268">
        <v>128828.32632200001</v>
      </c>
      <c r="BA15" s="268">
        <v>130209.649258</v>
      </c>
      <c r="BB15" s="268">
        <v>134209.36957699998</v>
      </c>
      <c r="BC15" s="268">
        <v>139755.996598</v>
      </c>
      <c r="BD15" s="14"/>
      <c r="BE15" s="14"/>
    </row>
    <row r="16" spans="1:57" s="21" customFormat="1">
      <c r="A16" s="14" t="s">
        <v>381</v>
      </c>
      <c r="B16" s="223"/>
      <c r="C16" s="223"/>
      <c r="D16" s="223"/>
      <c r="E16" s="223">
        <v>6.1059182702014851</v>
      </c>
      <c r="F16" s="228">
        <v>5.691292507294377</v>
      </c>
      <c r="G16" s="228">
        <v>5.5479737694329243</v>
      </c>
      <c r="H16" s="228">
        <v>5.2850414875313136</v>
      </c>
      <c r="I16" s="228">
        <v>4.8705981166866303</v>
      </c>
      <c r="J16" s="228">
        <v>4.5235564968125477</v>
      </c>
      <c r="K16" s="228">
        <v>4.709882892511124</v>
      </c>
      <c r="L16" s="228">
        <v>4.6714405992653214</v>
      </c>
      <c r="M16" s="228">
        <v>4.3901765050132475</v>
      </c>
      <c r="N16" s="228">
        <v>4.3975522016589812</v>
      </c>
      <c r="O16" s="228">
        <v>3.5312782859410365</v>
      </c>
      <c r="P16" s="228">
        <v>3.5095207256861851</v>
      </c>
      <c r="Q16" s="228">
        <v>3.2536000610939326</v>
      </c>
      <c r="R16" s="228">
        <v>3.0985687641488386</v>
      </c>
      <c r="S16" s="228">
        <v>3.0916529165703026</v>
      </c>
      <c r="T16" s="228">
        <v>2.7746573090973357</v>
      </c>
      <c r="U16" s="228">
        <v>2.7035713799229604</v>
      </c>
      <c r="V16" s="228">
        <v>2.2230980294363767</v>
      </c>
      <c r="W16" s="228">
        <v>2.3189263681889956</v>
      </c>
      <c r="X16" s="229"/>
      <c r="Y16" s="229"/>
      <c r="Z16" s="229"/>
      <c r="AA16" s="229"/>
      <c r="AB16" s="229"/>
      <c r="AC16" s="296">
        <v>1.8</v>
      </c>
      <c r="AD16" s="296">
        <v>1.7</v>
      </c>
      <c r="AE16" s="296">
        <v>1.8</v>
      </c>
      <c r="AF16" s="296">
        <v>1.7</v>
      </c>
      <c r="AG16" s="296">
        <v>1.7</v>
      </c>
      <c r="AH16" s="296">
        <v>1.5891541995386651</v>
      </c>
      <c r="AI16" s="296">
        <v>1.6</v>
      </c>
      <c r="AJ16" s="296">
        <v>1.6227273391859434</v>
      </c>
      <c r="AK16" s="296">
        <v>1.5982943639654572</v>
      </c>
      <c r="AL16" s="296">
        <v>1.3800155250621018</v>
      </c>
      <c r="AM16" s="296">
        <v>1.513152148683403</v>
      </c>
      <c r="AN16" s="296">
        <v>1.5928713678244015</v>
      </c>
      <c r="AO16" s="296">
        <v>1.5724287677322903</v>
      </c>
      <c r="AP16" s="296">
        <v>1.6</v>
      </c>
      <c r="AQ16" s="296">
        <v>1.5678591162523319</v>
      </c>
      <c r="AR16" s="296">
        <v>1.6284982467887785</v>
      </c>
      <c r="AS16" s="296">
        <v>1.6</v>
      </c>
      <c r="AT16" s="296">
        <v>1.2200842150957578</v>
      </c>
      <c r="AU16" s="296">
        <v>1.2559271086001091</v>
      </c>
      <c r="AV16" s="296">
        <v>1.2852837462189244</v>
      </c>
      <c r="AW16" s="296">
        <v>1.2274123638722565</v>
      </c>
      <c r="AX16" s="296">
        <v>1.2590937973172762</v>
      </c>
      <c r="AY16" s="296">
        <v>1.2745016787355332</v>
      </c>
      <c r="AZ16" s="296">
        <v>1.2975457031458588</v>
      </c>
      <c r="BA16" s="296">
        <v>1.2756409657372705</v>
      </c>
      <c r="BB16" s="296">
        <v>1.0443483891688101</v>
      </c>
      <c r="BC16" s="296">
        <v>1.0807982745720708</v>
      </c>
      <c r="BD16" s="15"/>
      <c r="BE16" s="14"/>
    </row>
    <row r="17" spans="1:60" s="21" customFormat="1">
      <c r="A17" s="14" t="s">
        <v>176</v>
      </c>
      <c r="B17" s="227"/>
      <c r="C17" s="227"/>
      <c r="D17" s="227"/>
      <c r="E17" s="223">
        <v>121.92403471243756</v>
      </c>
      <c r="F17" s="223">
        <v>120.42029790091112</v>
      </c>
      <c r="G17" s="223">
        <v>137.54826346379591</v>
      </c>
      <c r="H17" s="223">
        <v>143.80616371627886</v>
      </c>
      <c r="I17" s="223">
        <v>123.44381536755991</v>
      </c>
      <c r="J17" s="223">
        <v>133.93829698471214</v>
      </c>
      <c r="K17" s="223">
        <v>142.71366258737979</v>
      </c>
      <c r="L17" s="223">
        <v>140.99153246928805</v>
      </c>
      <c r="M17" s="223">
        <v>135.8321044618053</v>
      </c>
      <c r="N17" s="223">
        <v>136.05352974001457</v>
      </c>
      <c r="O17" s="223">
        <v>137.81865930706775</v>
      </c>
      <c r="P17" s="223">
        <v>140.0140497417041</v>
      </c>
      <c r="Q17" s="223">
        <v>137.40753104011677</v>
      </c>
      <c r="R17" s="223">
        <v>141.05778584617673</v>
      </c>
      <c r="S17" s="223">
        <v>144.83635140615993</v>
      </c>
      <c r="T17" s="223">
        <v>143.79715769139969</v>
      </c>
      <c r="U17" s="223">
        <v>149.11338206884869</v>
      </c>
      <c r="V17" s="223">
        <v>151.62055494399991</v>
      </c>
      <c r="W17" s="223">
        <v>158.83242258074969</v>
      </c>
      <c r="X17" s="268">
        <v>152.16999077464013</v>
      </c>
      <c r="Y17" s="268">
        <v>141.29854708868714</v>
      </c>
      <c r="Z17" s="268">
        <v>150.09765012085555</v>
      </c>
      <c r="AA17" s="268">
        <v>164.48438002733113</v>
      </c>
      <c r="AB17" s="268">
        <v>172.38749081626153</v>
      </c>
      <c r="AC17" s="268">
        <v>171.62534080703054</v>
      </c>
      <c r="AD17" s="268">
        <v>183.17301029803318</v>
      </c>
      <c r="AE17" s="268">
        <v>188.52817054685059</v>
      </c>
      <c r="AF17" s="268">
        <v>183</v>
      </c>
      <c r="AG17" s="268">
        <v>179</v>
      </c>
      <c r="AH17" s="268">
        <v>186.16903334681527</v>
      </c>
      <c r="AI17" s="268">
        <v>199</v>
      </c>
      <c r="AJ17" s="268">
        <v>205.99026864946677</v>
      </c>
      <c r="AK17" s="268">
        <v>210.53004782716923</v>
      </c>
      <c r="AL17" s="268">
        <v>217.59894238242831</v>
      </c>
      <c r="AM17" s="268">
        <v>235.19205573232708</v>
      </c>
      <c r="AN17" s="268">
        <v>241.13834908861273</v>
      </c>
      <c r="AO17" s="268">
        <v>239.95978648008554</v>
      </c>
      <c r="AP17" s="268">
        <v>249</v>
      </c>
      <c r="AQ17" s="268">
        <v>256.48022663086175</v>
      </c>
      <c r="AR17" s="268">
        <v>262.46001076953524</v>
      </c>
      <c r="AS17" s="268">
        <v>258</v>
      </c>
      <c r="AT17" s="268">
        <v>263.61706700245736</v>
      </c>
      <c r="AU17" s="268">
        <v>273.70902004128823</v>
      </c>
      <c r="AV17" s="268">
        <v>278.80589669259365</v>
      </c>
      <c r="AW17" s="268">
        <v>270.61968189826331</v>
      </c>
      <c r="AX17" s="268">
        <v>281.94767729888764</v>
      </c>
      <c r="AY17" s="268">
        <v>288.17412651353322</v>
      </c>
      <c r="AZ17" s="268">
        <v>287.81477454832645</v>
      </c>
      <c r="BA17" s="268">
        <v>284.98446120392458</v>
      </c>
      <c r="BB17" s="268">
        <v>290.40113455179443</v>
      </c>
      <c r="BC17" s="268">
        <v>299.62715201352449</v>
      </c>
      <c r="BD17" s="14"/>
      <c r="BE17" s="14"/>
    </row>
    <row r="18" spans="1:60" s="21" customFormat="1">
      <c r="A18" s="14" t="s">
        <v>103</v>
      </c>
      <c r="B18" s="227"/>
      <c r="C18" s="227"/>
      <c r="D18" s="227"/>
      <c r="E18" s="230">
        <v>5.0081011229962327</v>
      </c>
      <c r="F18" s="230">
        <v>4.7261421622052433</v>
      </c>
      <c r="G18" s="230">
        <v>4.0320639466252333</v>
      </c>
      <c r="H18" s="230">
        <v>3.6755542192217714</v>
      </c>
      <c r="I18" s="230">
        <v>3.9459833243621292</v>
      </c>
      <c r="J18" s="230">
        <v>3.3773435967525192</v>
      </c>
      <c r="K18" s="230">
        <v>3.3002326526567751</v>
      </c>
      <c r="L18" s="230">
        <v>3.3132774127998745</v>
      </c>
      <c r="M18" s="230">
        <v>3.2320610229871862</v>
      </c>
      <c r="N18" s="230">
        <v>3.2322220599952733</v>
      </c>
      <c r="O18" s="230">
        <v>2.5622642853266693</v>
      </c>
      <c r="P18" s="230">
        <v>2.5065489728784347</v>
      </c>
      <c r="Q18" s="230">
        <v>2.3678469705885545</v>
      </c>
      <c r="R18" s="230">
        <v>2.1966662425339796</v>
      </c>
      <c r="S18" s="230">
        <v>2.1345835396671098</v>
      </c>
      <c r="T18" s="230">
        <v>1.9295633889036763</v>
      </c>
      <c r="U18" s="230">
        <v>1.8130977531410735</v>
      </c>
      <c r="V18" s="230">
        <v>1.4662247016952703</v>
      </c>
      <c r="W18" s="230">
        <v>1.459983000013781</v>
      </c>
      <c r="X18" s="231"/>
      <c r="Y18" s="231"/>
      <c r="Z18" s="231"/>
      <c r="AA18" s="231"/>
      <c r="AB18" s="231"/>
      <c r="AC18" s="231"/>
      <c r="AD18" s="231"/>
      <c r="AE18" s="231"/>
      <c r="AF18" s="231"/>
      <c r="AG18" s="231"/>
      <c r="AH18" s="231"/>
      <c r="AI18" s="231"/>
      <c r="AJ18" s="231"/>
      <c r="AK18" s="231"/>
      <c r="AL18" s="231"/>
      <c r="AM18" s="231"/>
      <c r="AN18" s="231"/>
      <c r="AO18" s="231"/>
      <c r="AP18" s="231"/>
      <c r="AQ18" s="231"/>
      <c r="AR18" s="231"/>
      <c r="AS18" s="231"/>
      <c r="AT18" s="231"/>
      <c r="AU18" s="231"/>
      <c r="AV18" s="231"/>
      <c r="AW18" s="231"/>
      <c r="AX18" s="231"/>
      <c r="AY18" s="231"/>
      <c r="AZ18" s="231"/>
      <c r="BA18" s="231"/>
      <c r="BB18" s="231"/>
      <c r="BC18" s="231"/>
      <c r="BD18" s="15"/>
      <c r="BE18" s="14"/>
    </row>
    <row r="19" spans="1:60" s="21" customFormat="1" ht="6" customHeight="1">
      <c r="A19" s="14"/>
      <c r="B19" s="227"/>
      <c r="C19" s="227"/>
      <c r="D19" s="227"/>
      <c r="E19" s="227"/>
      <c r="F19" s="227"/>
      <c r="G19" s="227"/>
      <c r="H19" s="227"/>
      <c r="I19" s="227"/>
      <c r="J19" s="227"/>
      <c r="K19" s="227"/>
      <c r="L19" s="227"/>
      <c r="M19" s="227"/>
      <c r="N19" s="227"/>
      <c r="O19" s="227"/>
      <c r="P19" s="227"/>
      <c r="Q19" s="227"/>
      <c r="R19" s="227"/>
      <c r="S19" s="227"/>
      <c r="T19" s="227"/>
      <c r="U19" s="227"/>
      <c r="V19" s="227"/>
      <c r="W19" s="227"/>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4"/>
      <c r="BE19" s="14"/>
    </row>
    <row r="20" spans="1:60" s="21" customFormat="1" ht="6" customHeight="1">
      <c r="A20" s="14"/>
      <c r="B20" s="227"/>
      <c r="C20" s="227"/>
      <c r="D20" s="227"/>
      <c r="E20" s="227"/>
      <c r="F20" s="227"/>
      <c r="G20" s="227"/>
      <c r="H20" s="227"/>
      <c r="I20" s="227"/>
      <c r="J20" s="227"/>
      <c r="K20" s="227"/>
      <c r="L20" s="227"/>
      <c r="M20" s="227"/>
      <c r="N20" s="227"/>
      <c r="O20" s="227"/>
      <c r="P20" s="227"/>
      <c r="Q20" s="227"/>
      <c r="R20" s="227"/>
      <c r="S20" s="227"/>
      <c r="T20" s="227"/>
      <c r="U20" s="227"/>
      <c r="V20" s="227"/>
      <c r="W20" s="227"/>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4"/>
      <c r="BE20" s="14"/>
    </row>
    <row r="21" spans="1:60" s="21" customFormat="1">
      <c r="A21" s="14" t="s">
        <v>177</v>
      </c>
      <c r="B21" s="227"/>
      <c r="C21" s="227"/>
      <c r="D21" s="227"/>
      <c r="E21" s="232">
        <v>0.10564173615910277</v>
      </c>
      <c r="F21" s="232">
        <v>0.12914307630049518</v>
      </c>
      <c r="G21" s="232">
        <v>0.13047958723393627</v>
      </c>
      <c r="H21" s="232">
        <v>0.15123527320588467</v>
      </c>
      <c r="I21" s="232">
        <v>0.17732215878015681</v>
      </c>
      <c r="J21" s="232">
        <v>0.17414871321214262</v>
      </c>
      <c r="K21" s="232">
        <v>0.17865728373055934</v>
      </c>
      <c r="L21" s="232">
        <v>0.19627726814527369</v>
      </c>
      <c r="M21" s="232">
        <v>0.20496115649146213</v>
      </c>
      <c r="N21" s="232">
        <v>0.21507415102848765</v>
      </c>
      <c r="O21" s="232">
        <v>0.23809293524803699</v>
      </c>
      <c r="P21" s="232">
        <v>0.23458287857444465</v>
      </c>
      <c r="Q21" s="232">
        <v>0.25151231442847188</v>
      </c>
      <c r="R21" s="232">
        <v>0.27193525980326694</v>
      </c>
      <c r="S21" s="232">
        <v>0.27347817225859444</v>
      </c>
      <c r="T21" s="232">
        <v>0.2776667134127212</v>
      </c>
      <c r="U21" s="232">
        <v>0.29813831860615225</v>
      </c>
      <c r="V21" s="232">
        <v>0.31476356947209438</v>
      </c>
      <c r="W21" s="232">
        <v>0.29908969713666989</v>
      </c>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5"/>
      <c r="BE21" s="14"/>
    </row>
    <row r="22" spans="1:60" s="21" customFormat="1">
      <c r="A22" s="14"/>
      <c r="B22" s="227"/>
      <c r="C22" s="227"/>
      <c r="D22" s="227"/>
      <c r="E22" s="232"/>
      <c r="F22" s="232"/>
      <c r="G22" s="232"/>
      <c r="H22" s="232"/>
      <c r="I22" s="232"/>
      <c r="J22" s="232"/>
      <c r="K22" s="232"/>
      <c r="L22" s="232"/>
      <c r="M22" s="232"/>
      <c r="N22" s="232"/>
      <c r="O22" s="232"/>
      <c r="P22" s="232"/>
      <c r="Q22" s="232"/>
      <c r="R22" s="232"/>
      <c r="S22" s="232"/>
      <c r="T22" s="232"/>
      <c r="U22" s="232"/>
      <c r="V22" s="232"/>
      <c r="W22" s="232"/>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4"/>
      <c r="BE22" s="14"/>
    </row>
    <row r="23" spans="1:60" s="21" customFormat="1">
      <c r="A23" s="14" t="s">
        <v>178</v>
      </c>
      <c r="B23" s="227"/>
      <c r="C23" s="227"/>
      <c r="D23" s="227"/>
      <c r="E23" s="225">
        <v>5.6133978870892796E-2</v>
      </c>
      <c r="F23" s="225">
        <v>6.9560800762131739E-2</v>
      </c>
      <c r="G23" s="225">
        <v>6.8964064328285127E-2</v>
      </c>
      <c r="H23" s="225">
        <v>7.8060218023752084E-2</v>
      </c>
      <c r="I23" s="225">
        <v>8.6445995532559619E-2</v>
      </c>
      <c r="J23" s="225">
        <v>8.7078602780810824E-2</v>
      </c>
      <c r="K23" s="225">
        <v>8.8054239444459587E-2</v>
      </c>
      <c r="L23" s="225">
        <v>9.2609684224947697E-2</v>
      </c>
      <c r="M23" s="225">
        <v>9.7317704702135854E-2</v>
      </c>
      <c r="N23" s="225">
        <v>9.1999507690165003E-2</v>
      </c>
      <c r="O23" s="225">
        <v>9.7971174575237338E-2</v>
      </c>
      <c r="P23" s="225">
        <v>9.0728244641816683E-2</v>
      </c>
      <c r="Q23" s="225">
        <v>9.2955800590399179E-2</v>
      </c>
      <c r="R23" s="225">
        <v>9.7353095381234239E-2</v>
      </c>
      <c r="S23" s="225">
        <v>9.9497648652973364E-2</v>
      </c>
      <c r="T23" s="225">
        <v>9.727933480132174E-2</v>
      </c>
      <c r="U23" s="225">
        <v>0.1003023375801638</v>
      </c>
      <c r="V23" s="225">
        <v>0.10304787925000813</v>
      </c>
      <c r="W23" s="225">
        <v>0.10332915562484309</v>
      </c>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5"/>
      <c r="BE23" s="14"/>
    </row>
    <row r="24" spans="1:60" s="21" customFormat="1">
      <c r="A24" s="14" t="s">
        <v>128</v>
      </c>
      <c r="B24" s="227"/>
      <c r="C24" s="227"/>
      <c r="D24" s="227"/>
      <c r="E24" s="225">
        <v>3.1867146989359267E-2</v>
      </c>
      <c r="F24" s="225">
        <v>3.3525845202132386E-2</v>
      </c>
      <c r="G24" s="225">
        <v>3.6252874268322896E-2</v>
      </c>
      <c r="H24" s="225">
        <v>3.9274518268055537E-2</v>
      </c>
      <c r="I24" s="225">
        <v>4.3617876556701782E-2</v>
      </c>
      <c r="J24" s="225">
        <v>5.3976226251217507E-2</v>
      </c>
      <c r="K24" s="225">
        <v>6.5515211315583854E-2</v>
      </c>
      <c r="L24" s="225">
        <v>7.3618486227969279E-2</v>
      </c>
      <c r="M24" s="225">
        <v>7.7100456761758085E-2</v>
      </c>
      <c r="N24" s="225">
        <v>8.7675735134659816E-2</v>
      </c>
      <c r="O24" s="225">
        <v>0.10084163152885209</v>
      </c>
      <c r="P24" s="225">
        <v>0.10488897419623174</v>
      </c>
      <c r="Q24" s="225">
        <v>0.11482181470781926</v>
      </c>
      <c r="R24" s="225">
        <v>0.12896792782658717</v>
      </c>
      <c r="S24" s="225">
        <v>0.13531829497146061</v>
      </c>
      <c r="T24" s="225">
        <v>0.14207041178889956</v>
      </c>
      <c r="U24" s="225">
        <v>0.15748466092098481</v>
      </c>
      <c r="V24" s="225">
        <v>0.16895146607965347</v>
      </c>
      <c r="W24" s="225">
        <v>0.16381339219376312</v>
      </c>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17"/>
      <c r="BC24" s="117"/>
      <c r="BD24" s="15"/>
      <c r="BE24" s="14"/>
    </row>
    <row r="25" spans="1:60" s="21" customFormat="1">
      <c r="A25" s="14" t="s">
        <v>107</v>
      </c>
      <c r="B25" s="227"/>
      <c r="C25" s="227"/>
      <c r="D25" s="227"/>
      <c r="E25" s="225">
        <v>1.7640610298850699E-2</v>
      </c>
      <c r="F25" s="225">
        <v>2.5056430336231068E-2</v>
      </c>
      <c r="G25" s="225">
        <v>2.4662648637328272E-2</v>
      </c>
      <c r="H25" s="225">
        <v>3.290053691407701E-2</v>
      </c>
      <c r="I25" s="225">
        <v>4.7258286690895407E-2</v>
      </c>
      <c r="J25" s="225">
        <v>3.3093884180114302E-2</v>
      </c>
      <c r="K25" s="225">
        <v>2.5087832970515905E-2</v>
      </c>
      <c r="L25" s="225">
        <v>3.0149097692356724E-2</v>
      </c>
      <c r="M25" s="225">
        <v>3.0542995019257019E-2</v>
      </c>
      <c r="N25" s="225">
        <v>3.5398908203662836E-2</v>
      </c>
      <c r="O25" s="225">
        <v>3.9280129143947559E-2</v>
      </c>
      <c r="P25" s="225">
        <v>3.8965659736396228E-2</v>
      </c>
      <c r="Q25" s="225">
        <v>4.3734699130253442E-2</v>
      </c>
      <c r="R25" s="225">
        <v>4.5614236595445543E-2</v>
      </c>
      <c r="S25" s="225">
        <v>3.8662228634160439E-2</v>
      </c>
      <c r="T25" s="225">
        <v>3.8316966822499993E-2</v>
      </c>
      <c r="U25" s="225">
        <v>4.0351320105003571E-2</v>
      </c>
      <c r="V25" s="225">
        <v>4.276422414243275E-2</v>
      </c>
      <c r="W25" s="225">
        <v>3.1947149318063799E-2</v>
      </c>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5"/>
      <c r="BE25" s="14"/>
    </row>
    <row r="26" spans="1:60" s="21" customFormat="1" ht="5.25" customHeight="1">
      <c r="A26" s="14"/>
      <c r="B26" s="227"/>
      <c r="C26" s="227"/>
      <c r="D26" s="227"/>
      <c r="E26" s="227"/>
      <c r="F26" s="227"/>
      <c r="G26" s="227"/>
      <c r="H26" s="227"/>
      <c r="I26" s="227"/>
      <c r="J26" s="227"/>
      <c r="K26" s="227"/>
      <c r="L26" s="227"/>
      <c r="M26" s="227"/>
      <c r="N26" s="227"/>
      <c r="O26" s="227"/>
      <c r="P26" s="227"/>
      <c r="Q26" s="227"/>
      <c r="R26" s="227"/>
      <c r="S26" s="227"/>
      <c r="T26" s="227"/>
      <c r="U26" s="227"/>
      <c r="V26" s="227"/>
      <c r="W26" s="227"/>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4"/>
      <c r="BE26" s="14"/>
    </row>
    <row r="27" spans="1:60" s="21" customFormat="1" ht="5.25" customHeight="1">
      <c r="A27" s="14"/>
      <c r="B27" s="227"/>
      <c r="C27" s="227"/>
      <c r="D27" s="227"/>
      <c r="E27" s="227"/>
      <c r="F27" s="227"/>
      <c r="G27" s="227"/>
      <c r="H27" s="227"/>
      <c r="I27" s="227"/>
      <c r="J27" s="227"/>
      <c r="K27" s="227"/>
      <c r="L27" s="227"/>
      <c r="M27" s="227"/>
      <c r="N27" s="227"/>
      <c r="O27" s="227"/>
      <c r="P27" s="227"/>
      <c r="Q27" s="227"/>
      <c r="R27" s="227"/>
      <c r="S27" s="227"/>
      <c r="T27" s="227"/>
      <c r="U27" s="227"/>
      <c r="V27" s="227"/>
      <c r="W27" s="227"/>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4"/>
      <c r="BE27" s="14"/>
    </row>
    <row r="28" spans="1:60" s="21" customFormat="1">
      <c r="A28" s="14" t="s">
        <v>108</v>
      </c>
      <c r="B28" s="227"/>
      <c r="C28" s="227"/>
      <c r="D28" s="227"/>
      <c r="E28" s="227"/>
      <c r="F28" s="223"/>
      <c r="G28" s="223">
        <v>13935.038</v>
      </c>
      <c r="H28" s="223">
        <v>14106.759480000001</v>
      </c>
      <c r="I28" s="223">
        <v>14534.708360000001</v>
      </c>
      <c r="J28" s="223">
        <v>15544.313549999999</v>
      </c>
      <c r="K28" s="223">
        <v>17535.438800000004</v>
      </c>
      <c r="L28" s="223">
        <v>19633.969079999995</v>
      </c>
      <c r="M28" s="223">
        <v>22304.883019999997</v>
      </c>
      <c r="N28" s="223">
        <v>23650.407429999999</v>
      </c>
      <c r="O28" s="223">
        <v>11048.558201362617</v>
      </c>
      <c r="P28" s="223">
        <v>11242.088316245119</v>
      </c>
      <c r="Q28" s="223">
        <v>12289.214780729462</v>
      </c>
      <c r="R28" s="223">
        <v>13039.028999999999</v>
      </c>
      <c r="S28" s="223">
        <v>14291.627999999999</v>
      </c>
      <c r="T28" s="223">
        <v>14800.119999999999</v>
      </c>
      <c r="U28" s="223">
        <v>15137.923999999999</v>
      </c>
      <c r="V28" s="223">
        <v>16224.680330000001</v>
      </c>
      <c r="W28" s="223">
        <v>18071.393</v>
      </c>
      <c r="X28" s="268">
        <v>16731.498380000001</v>
      </c>
      <c r="Y28" s="268">
        <v>16850.782278999999</v>
      </c>
      <c r="Z28" s="268">
        <v>18167.396086999997</v>
      </c>
      <c r="AA28" s="268">
        <v>20529.310000000001</v>
      </c>
      <c r="AB28" s="268">
        <v>23324.016500000002</v>
      </c>
      <c r="AC28" s="268">
        <v>24941.457999999999</v>
      </c>
      <c r="AD28" s="268">
        <v>26376.053833000002</v>
      </c>
      <c r="AE28" s="268">
        <v>27113.074000000001</v>
      </c>
      <c r="AF28" s="268">
        <v>29264</v>
      </c>
      <c r="AG28" s="268">
        <v>30024</v>
      </c>
      <c r="AH28" s="268">
        <v>30001</v>
      </c>
      <c r="AI28" s="268">
        <v>31910</v>
      </c>
      <c r="AJ28" s="268">
        <v>32886.810381999996</v>
      </c>
      <c r="AK28" s="268">
        <v>35442.883999999998</v>
      </c>
      <c r="AL28" s="268">
        <v>36971.971936999995</v>
      </c>
      <c r="AM28" s="268">
        <v>39596.172999999995</v>
      </c>
      <c r="AN28" s="268">
        <v>40623.897999999994</v>
      </c>
      <c r="AO28" s="268">
        <v>40583.673999999992</v>
      </c>
      <c r="AP28" s="268">
        <v>42434</v>
      </c>
      <c r="AQ28" s="268">
        <v>43920.006000000001</v>
      </c>
      <c r="AR28" s="268">
        <v>45113.750999999997</v>
      </c>
      <c r="AS28" s="268">
        <v>46734</v>
      </c>
      <c r="AT28" s="268">
        <v>46536.339</v>
      </c>
      <c r="AU28" s="268">
        <v>48594</v>
      </c>
      <c r="AV28" s="268">
        <v>51266.748</v>
      </c>
      <c r="AW28" s="268">
        <v>54647.945</v>
      </c>
      <c r="AX28" s="268">
        <v>56782.384000000005</v>
      </c>
      <c r="AY28" s="268">
        <v>59787.042000000001</v>
      </c>
      <c r="AZ28" s="268">
        <v>62725.220187999999</v>
      </c>
      <c r="BA28" s="268">
        <v>64353.914000000004</v>
      </c>
      <c r="BB28" s="268">
        <v>64401.256999999998</v>
      </c>
      <c r="BC28" s="268">
        <v>66011.512999999992</v>
      </c>
      <c r="BD28" s="14"/>
      <c r="BE28" s="14"/>
    </row>
    <row r="29" spans="1:60" s="21" customFormat="1">
      <c r="A29" s="14"/>
      <c r="B29" s="227"/>
      <c r="C29" s="227"/>
      <c r="D29" s="227"/>
      <c r="E29" s="227"/>
      <c r="F29" s="225"/>
      <c r="G29" s="225"/>
      <c r="H29" s="225"/>
      <c r="I29" s="225"/>
      <c r="J29" s="225"/>
      <c r="K29" s="225"/>
      <c r="L29" s="225"/>
      <c r="M29" s="225"/>
      <c r="N29" s="225"/>
      <c r="O29" s="225"/>
      <c r="P29" s="225"/>
      <c r="Q29" s="225"/>
      <c r="R29" s="225"/>
      <c r="S29" s="225"/>
      <c r="T29" s="225"/>
      <c r="U29" s="225"/>
      <c r="V29" s="225"/>
      <c r="W29" s="225"/>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4"/>
      <c r="BE29" s="14"/>
    </row>
    <row r="30" spans="1:60" s="21" customFormat="1">
      <c r="A30" s="14" t="s">
        <v>370</v>
      </c>
      <c r="B30" s="227"/>
      <c r="C30" s="227"/>
      <c r="D30" s="227"/>
      <c r="E30" s="227"/>
      <c r="F30" s="225"/>
      <c r="G30" s="225">
        <v>0.23752941986030651</v>
      </c>
      <c r="H30" s="225">
        <v>0.22868194078524903</v>
      </c>
      <c r="I30" s="225">
        <v>0.22811056118915277</v>
      </c>
      <c r="J30" s="225">
        <v>0.24211053089036277</v>
      </c>
      <c r="K30" s="225">
        <v>0.26417363500409075</v>
      </c>
      <c r="L30" s="225">
        <v>0.28743558407481379</v>
      </c>
      <c r="M30" s="225">
        <v>0.32119643209589566</v>
      </c>
      <c r="N30" s="225">
        <v>0.34233381012866337</v>
      </c>
      <c r="O30" s="225">
        <v>0.15481364130391082</v>
      </c>
      <c r="P30" s="225">
        <v>0.15070101044816989</v>
      </c>
      <c r="Q30" s="225">
        <v>0.16114299592820389</v>
      </c>
      <c r="R30" s="225">
        <v>0.16647689355905534</v>
      </c>
      <c r="S30" s="225">
        <v>0.17680089674482169</v>
      </c>
      <c r="T30" s="225">
        <v>0.19385680621143606</v>
      </c>
      <c r="U30" s="225">
        <v>0.20271691307380668</v>
      </c>
      <c r="V30" s="225">
        <v>0.21413467035716729</v>
      </c>
      <c r="W30" s="225">
        <v>0.23125426522138817</v>
      </c>
      <c r="X30" s="278">
        <v>0.21750357763293166</v>
      </c>
      <c r="Y30" s="278">
        <v>0.21962177280787434</v>
      </c>
      <c r="Z30" s="278">
        <v>0.23636718990754302</v>
      </c>
      <c r="AA30" s="278">
        <v>0.26071693088902265</v>
      </c>
      <c r="AB30" s="278">
        <v>0.27723928420823263</v>
      </c>
      <c r="AC30" s="278">
        <v>0.27941728478245526</v>
      </c>
      <c r="AD30" s="278">
        <v>0.28923410841810437</v>
      </c>
      <c r="AE30" s="278">
        <v>0.28814374568179046</v>
      </c>
      <c r="AF30" s="278">
        <v>0.29899999999999999</v>
      </c>
      <c r="AG30" s="278">
        <v>0.30399999999999999</v>
      </c>
      <c r="AH30" s="278">
        <v>0.30099999999999999</v>
      </c>
      <c r="AI30" s="278">
        <v>0.307</v>
      </c>
      <c r="AJ30" s="278">
        <v>0.30695300625220789</v>
      </c>
      <c r="AK30" s="278">
        <v>0.32044900442974916</v>
      </c>
      <c r="AL30" s="278">
        <v>0.33170418322479062</v>
      </c>
      <c r="AM30" s="278">
        <v>0.34025799204492729</v>
      </c>
      <c r="AN30" s="278">
        <v>0.34165513438924577</v>
      </c>
      <c r="AO30" s="278">
        <v>0.34336995425648348</v>
      </c>
      <c r="AP30" s="278">
        <v>0.35099999999999998</v>
      </c>
      <c r="AQ30" s="278">
        <v>0.35795457351698878</v>
      </c>
      <c r="AR30" s="278">
        <v>0.35872305148174927</v>
      </c>
      <c r="AS30" s="278">
        <v>0.36399999999999999</v>
      </c>
      <c r="AT30" s="278">
        <v>0.35373868032686806</v>
      </c>
      <c r="AU30" s="278">
        <v>0.36086583902376607</v>
      </c>
      <c r="AV30" s="278">
        <v>0.37015238032608661</v>
      </c>
      <c r="AW30" s="278">
        <v>0.39020987375782473</v>
      </c>
      <c r="AX30" s="278">
        <v>0.39679355353686957</v>
      </c>
      <c r="AY30" s="278">
        <v>0.40488086872839207</v>
      </c>
      <c r="AZ30" s="278">
        <v>0.41492990267958313</v>
      </c>
      <c r="BA30" s="278">
        <v>0.42138890818363828</v>
      </c>
      <c r="BB30" s="278">
        <v>0.4143785804559042</v>
      </c>
      <c r="BC30" s="278">
        <v>0.42141510506455282</v>
      </c>
      <c r="BD30" s="14"/>
      <c r="BE30" s="14"/>
    </row>
    <row r="31" spans="1:60" s="21" customFormat="1">
      <c r="A31" s="14" t="s">
        <v>807</v>
      </c>
      <c r="B31" s="223"/>
      <c r="C31" s="223"/>
      <c r="D31" s="223"/>
      <c r="E31" s="223"/>
      <c r="F31" s="223"/>
      <c r="G31" s="223">
        <v>2144.6216793191975</v>
      </c>
      <c r="H31" s="223">
        <v>2450.1970050613845</v>
      </c>
      <c r="I31" s="223">
        <v>3003.1981809141676</v>
      </c>
      <c r="J31" s="223">
        <v>3140.2456578116175</v>
      </c>
      <c r="K31" s="223">
        <v>4214.6599826800002</v>
      </c>
      <c r="L31" s="223">
        <v>5383.2430007101193</v>
      </c>
      <c r="M31" s="223">
        <v>6113.8293574399995</v>
      </c>
      <c r="N31" s="223">
        <v>6541.0814463999995</v>
      </c>
      <c r="O31" s="223">
        <v>8060.7197316800002</v>
      </c>
      <c r="P31" s="223">
        <v>9475.0226329600009</v>
      </c>
      <c r="Q31" s="223">
        <v>11255.54870788</v>
      </c>
      <c r="R31" s="223">
        <v>13842.63579645</v>
      </c>
      <c r="S31" s="223">
        <v>16482.691808610001</v>
      </c>
      <c r="T31" s="223">
        <v>19253.614518089998</v>
      </c>
      <c r="U31" s="223">
        <v>22787.029547759998</v>
      </c>
      <c r="V31" s="224">
        <v>27654.901218030001</v>
      </c>
      <c r="W31" s="224">
        <v>34269.450637410002</v>
      </c>
      <c r="X31" s="269">
        <v>33559.743848542006</v>
      </c>
      <c r="Y31" s="269">
        <v>37034.369138271992</v>
      </c>
      <c r="Z31" s="269">
        <v>44381.460883063002</v>
      </c>
      <c r="AA31" s="269">
        <v>57932.560429082994</v>
      </c>
      <c r="AB31" s="269">
        <v>65543.831927587002</v>
      </c>
      <c r="AC31" s="269">
        <v>69704.678440275005</v>
      </c>
      <c r="AD31" s="269">
        <v>77810.765300853993</v>
      </c>
      <c r="AE31" s="269">
        <v>88808.23725242386</v>
      </c>
      <c r="AF31" s="269">
        <v>105338</v>
      </c>
      <c r="AG31" s="269">
        <v>120674</v>
      </c>
      <c r="AH31" s="269">
        <v>139303</v>
      </c>
      <c r="AI31" s="269">
        <v>162394</v>
      </c>
      <c r="AJ31" s="269">
        <v>189798.35794607698</v>
      </c>
      <c r="AK31" s="269">
        <v>219015.22273317204</v>
      </c>
      <c r="AL31" s="269">
        <v>279540.604232991</v>
      </c>
      <c r="AM31" s="269">
        <v>293919.17664358404</v>
      </c>
      <c r="AN31" s="269">
        <v>320568.43407318904</v>
      </c>
      <c r="AO31" s="269">
        <v>348230.38199061499</v>
      </c>
      <c r="AP31" s="269">
        <v>410723</v>
      </c>
      <c r="AQ31" s="269">
        <v>448911.87507589103</v>
      </c>
      <c r="AR31" s="269">
        <v>478813.00798904902</v>
      </c>
      <c r="AS31" s="269">
        <v>509303</v>
      </c>
      <c r="AT31" s="269">
        <v>568135.36225684278</v>
      </c>
      <c r="AU31" s="269">
        <v>647070.25059913774</v>
      </c>
      <c r="AV31" s="269">
        <v>692939.73350281245</v>
      </c>
      <c r="AW31" s="269">
        <v>732365.4460432441</v>
      </c>
      <c r="AX31" s="269">
        <v>823634.90773927525</v>
      </c>
      <c r="AY31" s="269">
        <v>917900.10329583497</v>
      </c>
      <c r="AZ31" s="269">
        <v>1009040.3113167</v>
      </c>
      <c r="BA31" s="269">
        <v>1091328.5825163701</v>
      </c>
      <c r="BB31" s="269">
        <v>1189.0973646400039</v>
      </c>
      <c r="BC31" s="269">
        <v>1389.4813961591465</v>
      </c>
      <c r="BD31" s="14"/>
      <c r="BE31" s="14"/>
    </row>
    <row r="32" spans="1:60" s="21" customFormat="1">
      <c r="A32" s="14" t="s">
        <v>191</v>
      </c>
      <c r="B32" s="223"/>
      <c r="C32" s="223"/>
      <c r="D32" s="223"/>
      <c r="E32" s="223"/>
      <c r="F32" s="228"/>
      <c r="G32" s="228">
        <v>0.97234839315316401</v>
      </c>
      <c r="H32" s="228">
        <v>1.1276696045118413</v>
      </c>
      <c r="I32" s="228">
        <v>1.2016363680978532</v>
      </c>
      <c r="J32" s="228">
        <v>1.282328465055921</v>
      </c>
      <c r="K32" s="228">
        <v>1.4735617571607167</v>
      </c>
      <c r="L32" s="228">
        <v>1.5686100616582106</v>
      </c>
      <c r="M32" s="228">
        <v>1.3915151983369196</v>
      </c>
      <c r="N32" s="228">
        <v>3</v>
      </c>
      <c r="O32" s="228">
        <v>3.0763024173445346</v>
      </c>
      <c r="P32" s="228">
        <v>3.1830483719262319</v>
      </c>
      <c r="Q32" s="228">
        <v>3.2189019001776589</v>
      </c>
      <c r="R32" s="228">
        <v>3.1</v>
      </c>
      <c r="S32" s="228">
        <v>3.1</v>
      </c>
      <c r="T32" s="228">
        <v>3</v>
      </c>
      <c r="U32" s="228">
        <v>3.0686383346929187</v>
      </c>
      <c r="V32" s="228">
        <v>2.6401217053742378</v>
      </c>
      <c r="W32" s="228">
        <v>2.4403316975532978</v>
      </c>
      <c r="X32" s="229"/>
      <c r="Y32" s="229"/>
      <c r="Z32" s="229"/>
      <c r="AA32" s="229"/>
      <c r="AB32" s="229"/>
      <c r="AC32" s="229"/>
      <c r="AD32" s="229"/>
      <c r="AE32" s="229"/>
      <c r="AF32" s="296">
        <v>2.0676523860718214</v>
      </c>
      <c r="AG32" s="296">
        <v>2.1307481346947292</v>
      </c>
      <c r="AH32" s="296">
        <v>2.3212974051165123</v>
      </c>
      <c r="AI32" s="296">
        <v>2.4641842269608865</v>
      </c>
      <c r="AJ32" s="296">
        <v>2.5550133333414222</v>
      </c>
      <c r="AK32" s="297">
        <v>2.5439323400560179</v>
      </c>
      <c r="AL32" s="297">
        <v>2.4869549251435963</v>
      </c>
      <c r="AM32" s="297">
        <v>2.4774676622139755</v>
      </c>
      <c r="AN32" s="297">
        <v>2.439796391373442</v>
      </c>
      <c r="AO32" s="297">
        <v>2.6780135271893051</v>
      </c>
      <c r="AP32" s="297">
        <v>2.9</v>
      </c>
      <c r="AQ32" s="297">
        <v>2.8714106004857438</v>
      </c>
      <c r="AR32" s="297">
        <v>2.9428435962283106</v>
      </c>
      <c r="AS32" s="297">
        <v>2.9</v>
      </c>
      <c r="AT32" s="297">
        <v>2.2133522204229754</v>
      </c>
      <c r="AU32" s="297">
        <v>2.3927445131982656</v>
      </c>
      <c r="AV32" s="297">
        <v>2.3829932158914757</v>
      </c>
      <c r="AW32" s="297">
        <v>2.3549018973461227</v>
      </c>
      <c r="AX32" s="297">
        <v>2.4373706150450949</v>
      </c>
      <c r="AY32" s="297">
        <v>2.4769265859182137</v>
      </c>
      <c r="AZ32" s="297">
        <v>2.5192521598212765</v>
      </c>
      <c r="BA32" s="297">
        <v>2.5875712814665937</v>
      </c>
      <c r="BB32" s="297">
        <v>2.1577092755408169</v>
      </c>
      <c r="BC32" s="297">
        <v>2.349537672847092</v>
      </c>
      <c r="BD32" s="15"/>
      <c r="BE32" s="14"/>
      <c r="BF32" s="197"/>
      <c r="BG32" s="197"/>
      <c r="BH32" s="197"/>
    </row>
    <row r="33" spans="1:57" s="21" customFormat="1">
      <c r="A33" s="14" t="s">
        <v>179</v>
      </c>
      <c r="B33" s="223"/>
      <c r="C33" s="223"/>
      <c r="D33" s="223"/>
      <c r="E33" s="223"/>
      <c r="F33" s="223"/>
      <c r="G33" s="223">
        <v>56.243387921579334</v>
      </c>
      <c r="H33" s="223">
        <v>58.251068648717848</v>
      </c>
      <c r="I33" s="223">
        <v>73.438524433922169</v>
      </c>
      <c r="J33" s="223">
        <v>70.245621769288647</v>
      </c>
      <c r="K33" s="223">
        <v>84.717105964745471</v>
      </c>
      <c r="L33" s="223">
        <v>98.589745894816943</v>
      </c>
      <c r="M33" s="223">
        <v>96.40585525632487</v>
      </c>
      <c r="N33" s="223">
        <v>231</v>
      </c>
      <c r="O33" s="223">
        <v>253.29004281370771</v>
      </c>
      <c r="P33" s="223">
        <v>290.0167037010296</v>
      </c>
      <c r="Q33" s="223">
        <v>321.34090758070653</v>
      </c>
      <c r="R33" s="223">
        <v>359.40631244624655</v>
      </c>
      <c r="S33" s="223">
        <v>403.39505082790816</v>
      </c>
      <c r="T33" s="223">
        <v>454.37230865485009</v>
      </c>
      <c r="U33" s="223">
        <v>508.95636829676431</v>
      </c>
      <c r="V33" s="223">
        <v>590.68766030518464</v>
      </c>
      <c r="W33" s="223">
        <v>670.18642945868419</v>
      </c>
      <c r="X33" s="268">
        <v>670.5361011207716</v>
      </c>
      <c r="Y33" s="268">
        <v>740.02948485353909</v>
      </c>
      <c r="Z33" s="268">
        <v>843.31638694689821</v>
      </c>
      <c r="AA33" s="268">
        <v>994.41195913642014</v>
      </c>
      <c r="AB33" s="268">
        <v>997.4138099837437</v>
      </c>
      <c r="AC33" s="268">
        <v>963.03202799917688</v>
      </c>
      <c r="AD33" s="268">
        <v>1005.9806192905138</v>
      </c>
      <c r="AE33" s="268">
        <v>1113.2193104501514</v>
      </c>
      <c r="AF33" s="268">
        <v>1248</v>
      </c>
      <c r="AG33" s="268">
        <v>1375</v>
      </c>
      <c r="AH33" s="268">
        <v>1550</v>
      </c>
      <c r="AI33" s="268">
        <v>1748</v>
      </c>
      <c r="AJ33" s="268">
        <v>1966.607682309108</v>
      </c>
      <c r="AK33" s="268">
        <v>2145.1236906044455</v>
      </c>
      <c r="AL33" s="268">
        <v>2606.7506014341184</v>
      </c>
      <c r="AM33" s="268">
        <v>2575.7456466897406</v>
      </c>
      <c r="AN33" s="268">
        <v>2652.9037806760484</v>
      </c>
      <c r="AO33" s="268">
        <v>2895.6270009326904</v>
      </c>
      <c r="AP33" s="268">
        <v>3302</v>
      </c>
      <c r="AQ33" s="268">
        <v>3454.9285559137847</v>
      </c>
      <c r="AR33" s="268">
        <v>3585.9139643985932</v>
      </c>
      <c r="AS33" s="268">
        <v>3715</v>
      </c>
      <c r="AT33" s="268">
        <v>4002.4756335794932</v>
      </c>
      <c r="AU33" s="268">
        <v>4502.2204676618576</v>
      </c>
      <c r="AV33" s="268">
        <v>4630.3391903029005</v>
      </c>
      <c r="AW33" s="268">
        <v>4591.703493392235</v>
      </c>
      <c r="AX33" s="268">
        <v>4922.6050154765026</v>
      </c>
      <c r="AY33" s="268">
        <v>5225.9456544393697</v>
      </c>
      <c r="AZ33" s="268">
        <v>5510.2123765930801</v>
      </c>
      <c r="BA33" s="268">
        <v>5735.43422315727</v>
      </c>
      <c r="BB33" s="268">
        <v>6157.3765110251097</v>
      </c>
      <c r="BC33" s="268">
        <v>7131.9271966365404</v>
      </c>
      <c r="BD33" s="14"/>
      <c r="BE33" s="14"/>
    </row>
    <row r="34" spans="1:57" s="21" customFormat="1">
      <c r="A34" s="14" t="s">
        <v>194</v>
      </c>
      <c r="B34" s="223"/>
      <c r="C34" s="223"/>
      <c r="D34" s="223"/>
      <c r="E34" s="223"/>
      <c r="F34" s="230"/>
      <c r="G34" s="230">
        <v>1.7288225853480204</v>
      </c>
      <c r="H34" s="230">
        <v>1.9358779687154499</v>
      </c>
      <c r="I34" s="230">
        <v>1.6362479738805895</v>
      </c>
      <c r="J34" s="230">
        <v>1.8054923691437157</v>
      </c>
      <c r="K34" s="230">
        <v>1.7393910478645611</v>
      </c>
      <c r="L34" s="230">
        <v>1.5910478796970668</v>
      </c>
      <c r="M34" s="230">
        <v>1.4433928257128623</v>
      </c>
      <c r="N34" s="230">
        <v>1.31</v>
      </c>
      <c r="O34" s="230">
        <v>1.214537446151061</v>
      </c>
      <c r="P34" s="230">
        <v>1.0975396697176283</v>
      </c>
      <c r="Q34" s="230">
        <v>1.0017093448860734</v>
      </c>
      <c r="R34" s="230">
        <v>0.92173487874137316</v>
      </c>
      <c r="S34" s="230">
        <v>0.83506596575226177</v>
      </c>
      <c r="T34" s="230">
        <v>0.64277407561024402</v>
      </c>
      <c r="U34" s="230">
        <v>0.60292758394245005</v>
      </c>
      <c r="V34" s="230">
        <v>0.44695731480325707</v>
      </c>
      <c r="W34" s="230">
        <v>0.36412729209160144</v>
      </c>
      <c r="X34" s="231"/>
      <c r="Y34" s="231"/>
      <c r="Z34" s="231"/>
      <c r="AA34" s="231"/>
      <c r="AB34" s="231"/>
      <c r="AC34" s="231"/>
      <c r="AD34" s="231"/>
      <c r="AE34" s="231"/>
      <c r="AF34" s="231"/>
      <c r="AG34" s="231"/>
      <c r="AH34" s="231"/>
      <c r="AI34" s="231"/>
      <c r="AJ34" s="231"/>
      <c r="AK34" s="231"/>
      <c r="AL34" s="231"/>
      <c r="AM34" s="231"/>
      <c r="AN34" s="231"/>
      <c r="AO34" s="231"/>
      <c r="AP34" s="231"/>
      <c r="AQ34" s="231"/>
      <c r="AR34" s="231"/>
      <c r="AS34" s="231"/>
      <c r="AT34" s="231"/>
      <c r="AU34" s="231"/>
      <c r="AV34" s="231"/>
      <c r="AW34" s="231"/>
      <c r="AX34" s="231"/>
      <c r="AY34" s="231"/>
      <c r="AZ34" s="231"/>
      <c r="BA34" s="231"/>
      <c r="BB34" s="231"/>
      <c r="BC34" s="231"/>
      <c r="BD34" s="15"/>
      <c r="BE34" s="14"/>
    </row>
    <row r="35" spans="1:57" s="21" customFormat="1">
      <c r="A35" s="14"/>
      <c r="B35" s="223"/>
      <c r="C35" s="223"/>
      <c r="D35" s="223"/>
      <c r="E35" s="223"/>
      <c r="F35" s="223"/>
      <c r="G35" s="223"/>
      <c r="H35" s="223"/>
      <c r="I35" s="223"/>
      <c r="J35" s="223"/>
      <c r="K35" s="223"/>
      <c r="L35" s="223"/>
      <c r="M35" s="223"/>
      <c r="N35" s="223"/>
      <c r="O35" s="223"/>
      <c r="P35" s="223"/>
      <c r="Q35" s="223"/>
      <c r="R35" s="223"/>
      <c r="S35" s="223"/>
      <c r="T35" s="223"/>
      <c r="U35" s="223"/>
      <c r="V35" s="223"/>
      <c r="W35" s="223"/>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B35" s="189"/>
      <c r="BC35" s="189"/>
      <c r="BD35" s="14"/>
      <c r="BE35" s="14"/>
    </row>
    <row r="36" spans="1:57" s="21" customFormat="1" ht="8.25" customHeight="1">
      <c r="A36" s="14"/>
      <c r="B36" s="223"/>
      <c r="C36" s="223"/>
      <c r="D36" s="223"/>
      <c r="E36" s="223"/>
      <c r="F36" s="223"/>
      <c r="G36" s="223"/>
      <c r="H36" s="223"/>
      <c r="I36" s="223"/>
      <c r="J36" s="223"/>
      <c r="K36" s="223"/>
      <c r="L36" s="223"/>
      <c r="M36" s="223"/>
      <c r="N36" s="223"/>
      <c r="O36" s="223"/>
      <c r="P36" s="223"/>
      <c r="Q36" s="223"/>
      <c r="R36" s="223"/>
      <c r="S36" s="223"/>
      <c r="T36" s="223"/>
      <c r="U36" s="223"/>
      <c r="V36" s="223"/>
      <c r="W36" s="223"/>
      <c r="X36" s="189"/>
      <c r="Y36" s="189"/>
      <c r="Z36" s="189"/>
      <c r="AA36" s="189"/>
      <c r="AB36" s="189"/>
      <c r="AC36" s="189"/>
      <c r="AD36" s="189"/>
      <c r="AE36" s="189"/>
      <c r="AF36" s="189"/>
      <c r="AG36" s="189"/>
      <c r="AH36" s="189"/>
      <c r="AI36" s="189"/>
      <c r="AJ36" s="189"/>
      <c r="AK36" s="189"/>
      <c r="AL36" s="189"/>
      <c r="AM36" s="189"/>
      <c r="AN36" s="189"/>
      <c r="AO36" s="189"/>
      <c r="AP36" s="189"/>
      <c r="AQ36" s="189"/>
      <c r="AR36" s="189"/>
      <c r="AS36" s="189"/>
      <c r="AT36" s="189"/>
      <c r="AU36" s="189"/>
      <c r="AV36" s="189"/>
      <c r="AW36" s="189"/>
      <c r="AX36" s="189"/>
      <c r="AY36" s="189"/>
      <c r="AZ36" s="189"/>
      <c r="BA36" s="189"/>
      <c r="BB36" s="189"/>
      <c r="BC36" s="189"/>
      <c r="BD36" s="14"/>
      <c r="BE36" s="14"/>
    </row>
    <row r="37" spans="1:57" s="21" customFormat="1" ht="8.25" customHeight="1">
      <c r="A37" s="14"/>
      <c r="B37" s="223"/>
      <c r="C37" s="223"/>
      <c r="D37" s="223"/>
      <c r="E37" s="223"/>
      <c r="F37" s="223"/>
      <c r="G37" s="223"/>
      <c r="H37" s="223"/>
      <c r="I37" s="223"/>
      <c r="J37" s="223"/>
      <c r="K37" s="223"/>
      <c r="L37" s="223"/>
      <c r="M37" s="223"/>
      <c r="N37" s="223"/>
      <c r="O37" s="223"/>
      <c r="P37" s="223"/>
      <c r="Q37" s="223"/>
      <c r="R37" s="223"/>
      <c r="S37" s="223"/>
      <c r="T37" s="223"/>
      <c r="U37" s="223"/>
      <c r="V37" s="223"/>
      <c r="W37" s="223"/>
      <c r="X37" s="189"/>
      <c r="Y37" s="189"/>
      <c r="Z37" s="189"/>
      <c r="AA37" s="189"/>
      <c r="AB37" s="189"/>
      <c r="AC37" s="189"/>
      <c r="AD37" s="189"/>
      <c r="AE37" s="189"/>
      <c r="AF37" s="189"/>
      <c r="AG37" s="189"/>
      <c r="AH37" s="189"/>
      <c r="AI37" s="189"/>
      <c r="AJ37" s="189"/>
      <c r="AK37" s="189"/>
      <c r="AL37" s="189"/>
      <c r="AM37" s="189"/>
      <c r="AN37" s="189"/>
      <c r="AO37" s="189"/>
      <c r="AP37" s="189"/>
      <c r="AQ37" s="189"/>
      <c r="AR37" s="189"/>
      <c r="AS37" s="189"/>
      <c r="AT37" s="189"/>
      <c r="AU37" s="189"/>
      <c r="AV37" s="189"/>
      <c r="AW37" s="189"/>
      <c r="AX37" s="189"/>
      <c r="AY37" s="189"/>
      <c r="AZ37" s="189"/>
      <c r="BA37" s="189"/>
      <c r="BB37" s="189"/>
      <c r="BC37" s="189"/>
      <c r="BD37" s="14"/>
      <c r="BE37" s="14"/>
    </row>
    <row r="38" spans="1:57" s="21" customFormat="1">
      <c r="A38" s="14" t="s">
        <v>384</v>
      </c>
      <c r="B38" s="223"/>
      <c r="C38" s="223"/>
      <c r="D38" s="223"/>
      <c r="E38" s="223">
        <v>14831</v>
      </c>
      <c r="F38" s="223">
        <v>15439</v>
      </c>
      <c r="G38" s="223">
        <v>15979</v>
      </c>
      <c r="H38" s="223">
        <v>16371</v>
      </c>
      <c r="I38" s="223">
        <v>16653</v>
      </c>
      <c r="J38" s="223">
        <v>17345</v>
      </c>
      <c r="K38" s="223">
        <v>17444</v>
      </c>
      <c r="L38" s="223">
        <v>17565</v>
      </c>
      <c r="M38" s="223">
        <v>17792</v>
      </c>
      <c r="N38" s="223">
        <v>17781</v>
      </c>
      <c r="O38" s="223">
        <v>17935</v>
      </c>
      <c r="P38" s="223">
        <v>18347</v>
      </c>
      <c r="Q38" s="223">
        <v>18819</v>
      </c>
      <c r="R38" s="223">
        <v>19146</v>
      </c>
      <c r="S38" s="223">
        <v>19330</v>
      </c>
      <c r="T38" s="223">
        <v>18777</v>
      </c>
      <c r="U38" s="223">
        <v>19254</v>
      </c>
      <c r="V38" s="223">
        <v>19551</v>
      </c>
      <c r="W38" s="223">
        <v>19866</v>
      </c>
      <c r="X38" s="268">
        <v>20240</v>
      </c>
      <c r="Y38" s="268">
        <v>20337</v>
      </c>
      <c r="Z38" s="268">
        <v>20377</v>
      </c>
      <c r="AA38" s="268">
        <v>20305</v>
      </c>
      <c r="AB38" s="268">
        <v>19054</v>
      </c>
      <c r="AC38" s="268">
        <v>19731</v>
      </c>
      <c r="AD38" s="268">
        <v>19895</v>
      </c>
      <c r="AE38" s="268">
        <v>20060</v>
      </c>
      <c r="AF38" s="268">
        <v>20582</v>
      </c>
      <c r="AG38" s="268">
        <v>21059</v>
      </c>
      <c r="AH38" s="268">
        <v>21385</v>
      </c>
      <c r="AI38" s="268">
        <v>21936</v>
      </c>
      <c r="AJ38" s="268">
        <v>22253</v>
      </c>
      <c r="AK38" s="268">
        <v>22909</v>
      </c>
      <c r="AL38" s="268">
        <v>23471</v>
      </c>
      <c r="AM38" s="268">
        <v>24246</v>
      </c>
      <c r="AN38" s="268">
        <v>24693</v>
      </c>
      <c r="AO38" s="268">
        <v>25368</v>
      </c>
      <c r="AP38" s="268">
        <v>26104</v>
      </c>
      <c r="AQ38" s="268">
        <v>26751</v>
      </c>
      <c r="AR38" s="268">
        <v>27422</v>
      </c>
      <c r="AS38" s="268">
        <v>28797</v>
      </c>
      <c r="AT38" s="268">
        <v>29412</v>
      </c>
      <c r="AU38" s="268">
        <v>30149</v>
      </c>
      <c r="AV38" s="268">
        <v>30733</v>
      </c>
      <c r="AW38" s="268">
        <v>31546</v>
      </c>
      <c r="AX38" s="268">
        <v>32226</v>
      </c>
      <c r="AY38" s="268">
        <v>33144</v>
      </c>
      <c r="AZ38" s="268">
        <v>33780</v>
      </c>
      <c r="BA38" s="268">
        <v>34534</v>
      </c>
      <c r="BB38" s="268">
        <v>35216</v>
      </c>
      <c r="BC38" s="268">
        <v>35961</v>
      </c>
      <c r="BD38" s="14"/>
      <c r="BE38" s="14" t="s">
        <v>864</v>
      </c>
    </row>
    <row r="39" spans="1:57" s="21" customFormat="1">
      <c r="A39" s="14" t="s">
        <v>385</v>
      </c>
      <c r="B39" s="227"/>
      <c r="C39" s="227"/>
      <c r="D39" s="227"/>
      <c r="E39" s="227">
        <v>3205</v>
      </c>
      <c r="F39" s="223">
        <v>4787</v>
      </c>
      <c r="G39" s="223">
        <v>5347</v>
      </c>
      <c r="H39" s="223">
        <v>5527</v>
      </c>
      <c r="I39" s="223">
        <v>5676</v>
      </c>
      <c r="J39" s="223">
        <v>6201</v>
      </c>
      <c r="K39" s="223">
        <v>6237</v>
      </c>
      <c r="L39" s="223">
        <v>6675</v>
      </c>
      <c r="M39" s="223">
        <v>6923</v>
      </c>
      <c r="N39" s="223">
        <v>7165</v>
      </c>
      <c r="O39" s="223">
        <v>8104</v>
      </c>
      <c r="P39" s="223">
        <v>9228</v>
      </c>
      <c r="Q39" s="223">
        <v>10011</v>
      </c>
      <c r="R39" s="223">
        <v>10722</v>
      </c>
      <c r="S39" s="223">
        <v>11457</v>
      </c>
      <c r="T39" s="223">
        <v>11907</v>
      </c>
      <c r="U39" s="223">
        <v>12741</v>
      </c>
      <c r="V39" s="223">
        <v>13058</v>
      </c>
      <c r="W39" s="223">
        <v>13280</v>
      </c>
      <c r="X39" s="268">
        <v>13622</v>
      </c>
      <c r="Y39" s="268">
        <v>13817</v>
      </c>
      <c r="Z39" s="268">
        <v>13888</v>
      </c>
      <c r="AA39" s="268">
        <v>13866</v>
      </c>
      <c r="AB39" s="268">
        <v>16863</v>
      </c>
      <c r="AC39" s="268">
        <v>20093</v>
      </c>
      <c r="AD39" s="268">
        <v>14653</v>
      </c>
      <c r="AE39" s="268">
        <v>15280</v>
      </c>
      <c r="AF39" s="268">
        <v>15734</v>
      </c>
      <c r="AG39" s="268">
        <v>16426</v>
      </c>
      <c r="AH39" s="268">
        <v>17049</v>
      </c>
      <c r="AI39" s="268">
        <v>18274</v>
      </c>
      <c r="AJ39" s="268">
        <v>19133</v>
      </c>
      <c r="AK39" s="268">
        <v>20378</v>
      </c>
      <c r="AL39" s="268">
        <v>21171</v>
      </c>
      <c r="AM39" s="268">
        <v>22250</v>
      </c>
      <c r="AN39" s="268">
        <v>22998</v>
      </c>
      <c r="AO39" s="268">
        <v>23826</v>
      </c>
      <c r="AP39" s="268">
        <v>24701</v>
      </c>
      <c r="AQ39" s="268">
        <v>25600</v>
      </c>
      <c r="AR39" s="268">
        <v>26278</v>
      </c>
      <c r="AS39" s="268">
        <v>27782</v>
      </c>
      <c r="AT39" s="268">
        <v>28513</v>
      </c>
      <c r="AU39" s="268"/>
      <c r="AV39" s="268"/>
      <c r="AW39" s="268"/>
      <c r="AX39" s="268"/>
      <c r="AY39" s="268"/>
      <c r="AZ39" s="268"/>
      <c r="BA39" s="268"/>
      <c r="BB39" s="268"/>
      <c r="BC39" s="268"/>
      <c r="BD39" s="14"/>
      <c r="BE39" s="14"/>
    </row>
    <row r="40" spans="1:57" s="21" customFormat="1">
      <c r="A40" s="14"/>
      <c r="B40" s="111"/>
      <c r="C40" s="111"/>
      <c r="D40" s="111"/>
      <c r="E40" s="111"/>
      <c r="F40" s="111"/>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4"/>
      <c r="BE40" s="14"/>
    </row>
    <row r="41" spans="1:57" s="30" customFormat="1">
      <c r="A41" s="508" t="s">
        <v>33</v>
      </c>
      <c r="B41" s="509"/>
      <c r="C41" s="509"/>
      <c r="D41" s="509"/>
      <c r="E41" s="509"/>
      <c r="F41" s="509"/>
      <c r="G41" s="509"/>
      <c r="H41" s="509"/>
      <c r="I41" s="509"/>
      <c r="J41" s="509"/>
      <c r="K41" s="509"/>
      <c r="L41" s="509"/>
      <c r="M41" s="509"/>
      <c r="N41" s="509"/>
      <c r="O41" s="509"/>
      <c r="P41" s="509"/>
      <c r="Q41" s="509"/>
      <c r="R41" s="509"/>
      <c r="S41" s="509"/>
      <c r="T41" s="509"/>
      <c r="U41" s="509"/>
      <c r="V41" s="509"/>
      <c r="W41" s="509"/>
      <c r="X41" s="509"/>
      <c r="Y41" s="509"/>
      <c r="Z41" s="509"/>
      <c r="AA41" s="509"/>
      <c r="AB41" s="509"/>
      <c r="AC41" s="509"/>
      <c r="AD41" s="509"/>
      <c r="AE41" s="512"/>
      <c r="AF41" s="512"/>
      <c r="AG41" s="51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08"/>
      <c r="BE41" s="508"/>
    </row>
    <row r="42" spans="1:57" s="21" customFormat="1">
      <c r="A42" s="14" t="s">
        <v>98</v>
      </c>
      <c r="B42" s="111"/>
      <c r="C42" s="203"/>
      <c r="D42" s="203"/>
      <c r="E42" s="203"/>
      <c r="F42" s="203">
        <v>6881</v>
      </c>
      <c r="G42" s="203">
        <v>7236</v>
      </c>
      <c r="H42" s="203">
        <v>7494</v>
      </c>
      <c r="I42" s="203">
        <v>7906</v>
      </c>
      <c r="J42" s="203">
        <v>8025</v>
      </c>
      <c r="K42" s="203">
        <v>8342</v>
      </c>
      <c r="L42" s="203">
        <v>8426</v>
      </c>
      <c r="M42" s="203">
        <v>8618</v>
      </c>
      <c r="N42" s="203">
        <v>8650</v>
      </c>
      <c r="O42" s="203">
        <v>7678</v>
      </c>
      <c r="P42" s="203">
        <v>7892</v>
      </c>
      <c r="Q42" s="203">
        <v>8603</v>
      </c>
      <c r="R42" s="203">
        <v>9019</v>
      </c>
      <c r="S42" s="203">
        <v>9852</v>
      </c>
      <c r="T42" s="203">
        <v>10792</v>
      </c>
      <c r="U42" s="203">
        <v>10238</v>
      </c>
      <c r="V42" s="203">
        <v>9245</v>
      </c>
      <c r="W42" s="203">
        <v>8800</v>
      </c>
      <c r="X42" s="189">
        <v>1938</v>
      </c>
      <c r="Y42" s="189">
        <v>1964</v>
      </c>
      <c r="Z42" s="189">
        <v>1990</v>
      </c>
      <c r="AA42" s="189">
        <v>2086</v>
      </c>
      <c r="AB42" s="189">
        <v>2150</v>
      </c>
      <c r="AC42" s="200"/>
      <c r="AD42" s="200"/>
      <c r="AE42" s="200"/>
      <c r="AF42" s="200"/>
      <c r="AG42" s="200"/>
      <c r="AH42" s="200"/>
      <c r="AI42" s="200"/>
      <c r="AJ42" s="200"/>
      <c r="AK42" s="200"/>
      <c r="AL42" s="200"/>
      <c r="AM42" s="200"/>
      <c r="AN42" s="200"/>
      <c r="AO42" s="200"/>
      <c r="AP42" s="200"/>
      <c r="AQ42" s="200"/>
      <c r="AR42" s="200"/>
      <c r="AS42" s="200"/>
      <c r="AT42" s="200"/>
      <c r="AU42" s="200"/>
      <c r="AV42" s="200"/>
      <c r="AW42" s="200"/>
      <c r="AX42" s="200"/>
      <c r="AY42" s="200"/>
      <c r="AZ42" s="200"/>
      <c r="BA42" s="200"/>
      <c r="BB42" s="200"/>
      <c r="BC42" s="200"/>
      <c r="BD42" s="14"/>
      <c r="BE42" s="14"/>
    </row>
    <row r="43" spans="1:57" s="21" customFormat="1">
      <c r="A43" s="14" t="s">
        <v>99</v>
      </c>
      <c r="B43" s="111"/>
      <c r="C43" s="111"/>
      <c r="D43" s="111"/>
      <c r="E43" s="111"/>
      <c r="F43" s="189">
        <f t="shared" ref="F43:AB43" si="3">F42-E42</f>
        <v>6881</v>
      </c>
      <c r="G43" s="189">
        <f t="shared" si="3"/>
        <v>355</v>
      </c>
      <c r="H43" s="189">
        <f t="shared" si="3"/>
        <v>258</v>
      </c>
      <c r="I43" s="189">
        <f t="shared" si="3"/>
        <v>412</v>
      </c>
      <c r="J43" s="189">
        <f t="shared" si="3"/>
        <v>119</v>
      </c>
      <c r="K43" s="189">
        <f t="shared" si="3"/>
        <v>317</v>
      </c>
      <c r="L43" s="189">
        <f t="shared" si="3"/>
        <v>84</v>
      </c>
      <c r="M43" s="189">
        <f t="shared" si="3"/>
        <v>192</v>
      </c>
      <c r="N43" s="189">
        <f t="shared" si="3"/>
        <v>32</v>
      </c>
      <c r="O43" s="189">
        <f t="shared" si="3"/>
        <v>-972</v>
      </c>
      <c r="P43" s="189">
        <f t="shared" si="3"/>
        <v>214</v>
      </c>
      <c r="Q43" s="189">
        <f t="shared" si="3"/>
        <v>711</v>
      </c>
      <c r="R43" s="189">
        <f t="shared" si="3"/>
        <v>416</v>
      </c>
      <c r="S43" s="189">
        <f t="shared" si="3"/>
        <v>833</v>
      </c>
      <c r="T43" s="189">
        <f t="shared" si="3"/>
        <v>940</v>
      </c>
      <c r="U43" s="189">
        <f t="shared" si="3"/>
        <v>-554</v>
      </c>
      <c r="V43" s="189">
        <f t="shared" si="3"/>
        <v>-993</v>
      </c>
      <c r="W43" s="189">
        <f t="shared" si="3"/>
        <v>-445</v>
      </c>
      <c r="X43" s="203">
        <f t="shared" si="3"/>
        <v>-6862</v>
      </c>
      <c r="Y43" s="179">
        <f t="shared" si="3"/>
        <v>26</v>
      </c>
      <c r="Z43" s="179">
        <f t="shared" si="3"/>
        <v>26</v>
      </c>
      <c r="AA43" s="179">
        <f t="shared" si="3"/>
        <v>96</v>
      </c>
      <c r="AB43" s="179">
        <f t="shared" si="3"/>
        <v>64</v>
      </c>
      <c r="AC43" s="200"/>
      <c r="AD43" s="200"/>
      <c r="AE43" s="200"/>
      <c r="AF43" s="200"/>
      <c r="AG43" s="200"/>
      <c r="AH43" s="200"/>
      <c r="AI43" s="200"/>
      <c r="AJ43" s="200"/>
      <c r="AK43" s="200"/>
      <c r="AL43" s="200"/>
      <c r="AM43" s="200"/>
      <c r="AN43" s="200"/>
      <c r="AO43" s="200"/>
      <c r="AP43" s="200"/>
      <c r="AQ43" s="200"/>
      <c r="AR43" s="200"/>
      <c r="AS43" s="200"/>
      <c r="AT43" s="200"/>
      <c r="AU43" s="200"/>
      <c r="AV43" s="200"/>
      <c r="AW43" s="200"/>
      <c r="AX43" s="200"/>
      <c r="AY43" s="200"/>
      <c r="AZ43" s="200"/>
      <c r="BA43" s="200"/>
      <c r="BB43" s="200"/>
      <c r="BC43" s="200"/>
      <c r="BD43" s="14"/>
      <c r="BE43" s="14"/>
    </row>
    <row r="44" spans="1:57" s="21" customFormat="1">
      <c r="A44" s="14" t="s">
        <v>174</v>
      </c>
      <c r="B44" s="111"/>
      <c r="C44" s="111"/>
      <c r="D44" s="111"/>
      <c r="E44" s="111"/>
      <c r="F44" s="189">
        <f t="shared" ref="F44:AB44" si="4">AVERAGE(F42,E42)</f>
        <v>6881</v>
      </c>
      <c r="G44" s="189">
        <f t="shared" si="4"/>
        <v>7058.5</v>
      </c>
      <c r="H44" s="189">
        <f t="shared" si="4"/>
        <v>7365</v>
      </c>
      <c r="I44" s="189">
        <f t="shared" si="4"/>
        <v>7700</v>
      </c>
      <c r="J44" s="189">
        <f t="shared" si="4"/>
        <v>7965.5</v>
      </c>
      <c r="K44" s="189">
        <f t="shared" si="4"/>
        <v>8183.5</v>
      </c>
      <c r="L44" s="189">
        <f t="shared" si="4"/>
        <v>8384</v>
      </c>
      <c r="M44" s="189">
        <f t="shared" si="4"/>
        <v>8522</v>
      </c>
      <c r="N44" s="189">
        <f t="shared" si="4"/>
        <v>8634</v>
      </c>
      <c r="O44" s="189">
        <f t="shared" si="4"/>
        <v>8164</v>
      </c>
      <c r="P44" s="189">
        <f t="shared" si="4"/>
        <v>7785</v>
      </c>
      <c r="Q44" s="189">
        <f t="shared" si="4"/>
        <v>8247.5</v>
      </c>
      <c r="R44" s="189">
        <f t="shared" si="4"/>
        <v>8811</v>
      </c>
      <c r="S44" s="189">
        <f t="shared" si="4"/>
        <v>9435.5</v>
      </c>
      <c r="T44" s="189">
        <f t="shared" si="4"/>
        <v>10322</v>
      </c>
      <c r="U44" s="189">
        <f t="shared" si="4"/>
        <v>10515</v>
      </c>
      <c r="V44" s="189">
        <f t="shared" si="4"/>
        <v>9741.5</v>
      </c>
      <c r="W44" s="189">
        <f t="shared" si="4"/>
        <v>9022.5</v>
      </c>
      <c r="X44" s="203">
        <f t="shared" si="4"/>
        <v>5369</v>
      </c>
      <c r="Y44" s="179">
        <f t="shared" si="4"/>
        <v>1951</v>
      </c>
      <c r="Z44" s="179">
        <f t="shared" si="4"/>
        <v>1977</v>
      </c>
      <c r="AA44" s="179">
        <f t="shared" si="4"/>
        <v>2038</v>
      </c>
      <c r="AB44" s="179">
        <f t="shared" si="4"/>
        <v>2118</v>
      </c>
      <c r="AC44" s="200"/>
      <c r="AD44" s="200"/>
      <c r="AE44" s="200"/>
      <c r="AF44" s="200"/>
      <c r="AG44" s="200"/>
      <c r="AH44" s="200"/>
      <c r="AI44" s="200"/>
      <c r="AJ44" s="200"/>
      <c r="AK44" s="200"/>
      <c r="AL44" s="200"/>
      <c r="AM44" s="200"/>
      <c r="AN44" s="200"/>
      <c r="AO44" s="200"/>
      <c r="AP44" s="200"/>
      <c r="AQ44" s="200"/>
      <c r="AR44" s="200"/>
      <c r="AS44" s="200"/>
      <c r="AT44" s="200"/>
      <c r="AU44" s="200"/>
      <c r="AV44" s="200"/>
      <c r="AW44" s="200"/>
      <c r="AX44" s="200"/>
      <c r="AY44" s="200"/>
      <c r="AZ44" s="200"/>
      <c r="BA44" s="200"/>
      <c r="BB44" s="200"/>
      <c r="BC44" s="200"/>
      <c r="BD44" s="14"/>
      <c r="BE44" s="14"/>
    </row>
    <row r="45" spans="1:57" s="21" customFormat="1">
      <c r="A45" s="14"/>
      <c r="B45" s="111"/>
      <c r="C45" s="111"/>
      <c r="D45" s="111"/>
      <c r="E45" s="111"/>
      <c r="F45" s="189"/>
      <c r="G45" s="189"/>
      <c r="H45" s="189"/>
      <c r="I45" s="189"/>
      <c r="J45" s="189"/>
      <c r="K45" s="189"/>
      <c r="L45" s="189"/>
      <c r="M45" s="189"/>
      <c r="N45" s="189"/>
      <c r="O45" s="189"/>
      <c r="P45" s="189"/>
      <c r="Q45" s="189"/>
      <c r="R45" s="189"/>
      <c r="S45" s="189"/>
      <c r="T45" s="189"/>
      <c r="U45" s="189"/>
      <c r="V45" s="189"/>
      <c r="W45" s="189"/>
      <c r="X45" s="189"/>
      <c r="Y45" s="179"/>
      <c r="Z45" s="179"/>
      <c r="AA45" s="179"/>
      <c r="AB45" s="179"/>
      <c r="AC45" s="200"/>
      <c r="AD45" s="200"/>
      <c r="AE45" s="200"/>
      <c r="AF45" s="200"/>
      <c r="AG45" s="200"/>
      <c r="AH45" s="200"/>
      <c r="AI45" s="200"/>
      <c r="AJ45" s="200"/>
      <c r="AK45" s="200"/>
      <c r="AL45" s="200"/>
      <c r="AM45" s="200"/>
      <c r="AN45" s="200"/>
      <c r="AO45" s="200"/>
      <c r="AP45" s="200"/>
      <c r="AQ45" s="200"/>
      <c r="AR45" s="200"/>
      <c r="AS45" s="200"/>
      <c r="AT45" s="200"/>
      <c r="AU45" s="200"/>
      <c r="AV45" s="200"/>
      <c r="AW45" s="200"/>
      <c r="AX45" s="200"/>
      <c r="AY45" s="200"/>
      <c r="AZ45" s="200"/>
      <c r="BA45" s="200"/>
      <c r="BB45" s="200"/>
      <c r="BC45" s="200"/>
      <c r="BD45" s="14"/>
      <c r="BE45" s="14"/>
    </row>
    <row r="46" spans="1:57" s="21" customFormat="1">
      <c r="A46" s="14" t="s">
        <v>183</v>
      </c>
      <c r="B46" s="111"/>
      <c r="C46" s="111"/>
      <c r="D46" s="111"/>
      <c r="E46" s="111"/>
      <c r="F46" s="203">
        <v>8492.64</v>
      </c>
      <c r="G46" s="203">
        <v>8893.7099999999991</v>
      </c>
      <c r="H46" s="203">
        <v>9611.3250000000007</v>
      </c>
      <c r="I46" s="203">
        <v>10510.5</v>
      </c>
      <c r="J46" s="203">
        <v>10490.5635</v>
      </c>
      <c r="K46" s="203">
        <v>10704.018</v>
      </c>
      <c r="L46" s="203">
        <v>10488.384</v>
      </c>
      <c r="M46" s="203">
        <v>10277.531999999999</v>
      </c>
      <c r="N46" s="203">
        <v>10280</v>
      </c>
      <c r="O46" s="203">
        <v>8596.6919999999991</v>
      </c>
      <c r="P46" s="203">
        <v>8361.09</v>
      </c>
      <c r="Q46" s="203">
        <v>8711</v>
      </c>
      <c r="R46" s="203">
        <v>9097</v>
      </c>
      <c r="S46" s="203">
        <v>9480</v>
      </c>
      <c r="T46" s="203">
        <v>10066</v>
      </c>
      <c r="U46" s="203">
        <v>10125.945</v>
      </c>
      <c r="V46" s="203">
        <v>9059.5949999999993</v>
      </c>
      <c r="W46" s="203">
        <v>8905.2075000000004</v>
      </c>
      <c r="X46" s="203">
        <v>4752</v>
      </c>
      <c r="Y46" s="179">
        <v>1270</v>
      </c>
      <c r="Z46" s="179">
        <v>1261</v>
      </c>
      <c r="AA46" s="179">
        <v>1347</v>
      </c>
      <c r="AB46" s="179">
        <v>1404</v>
      </c>
      <c r="AC46" s="200"/>
      <c r="AD46" s="200"/>
      <c r="AE46" s="200"/>
      <c r="AF46" s="200"/>
      <c r="AG46" s="200"/>
      <c r="AH46" s="200"/>
      <c r="AI46" s="200"/>
      <c r="AJ46" s="200"/>
      <c r="AK46" s="200"/>
      <c r="AL46" s="200"/>
      <c r="AM46" s="200"/>
      <c r="AN46" s="200"/>
      <c r="AO46" s="200"/>
      <c r="AP46" s="200"/>
      <c r="AQ46" s="200"/>
      <c r="AR46" s="200"/>
      <c r="AS46" s="200"/>
      <c r="AT46" s="200"/>
      <c r="AU46" s="200"/>
      <c r="AV46" s="200"/>
      <c r="AW46" s="200"/>
      <c r="AX46" s="200"/>
      <c r="AY46" s="200"/>
      <c r="AZ46" s="200"/>
      <c r="BA46" s="200"/>
      <c r="BB46" s="200"/>
      <c r="BC46" s="200"/>
      <c r="BD46" s="14"/>
      <c r="BE46" s="14"/>
    </row>
    <row r="47" spans="1:57" s="21" customFormat="1">
      <c r="A47" s="14"/>
      <c r="B47" s="111"/>
      <c r="C47" s="111"/>
      <c r="D47" s="111"/>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200"/>
      <c r="AD47" s="200"/>
      <c r="AE47" s="200"/>
      <c r="AF47" s="200"/>
      <c r="AG47" s="200"/>
      <c r="AH47" s="200"/>
      <c r="AI47" s="200"/>
      <c r="AJ47" s="200"/>
      <c r="AK47" s="200"/>
      <c r="AL47" s="200"/>
      <c r="AM47" s="200"/>
      <c r="AN47" s="200"/>
      <c r="AO47" s="200"/>
      <c r="AP47" s="200"/>
      <c r="AQ47" s="200"/>
      <c r="AR47" s="200"/>
      <c r="AS47" s="200"/>
      <c r="AT47" s="200"/>
      <c r="AU47" s="200"/>
      <c r="AV47" s="200"/>
      <c r="AW47" s="200"/>
      <c r="AX47" s="200"/>
      <c r="AY47" s="200"/>
      <c r="AZ47" s="200"/>
      <c r="BA47" s="200"/>
      <c r="BB47" s="200"/>
      <c r="BC47" s="200"/>
      <c r="BD47" s="14"/>
      <c r="BE47" s="14"/>
    </row>
    <row r="48" spans="1:57" s="21" customFormat="1">
      <c r="A48" s="14" t="s">
        <v>184</v>
      </c>
      <c r="B48" s="111"/>
      <c r="C48" s="111"/>
      <c r="D48" s="111"/>
      <c r="E48" s="111"/>
      <c r="F48" s="203">
        <f t="shared" ref="F48:Y48" si="5">F46*1000/F44/3</f>
        <v>411.40531899433222</v>
      </c>
      <c r="G48" s="203">
        <f t="shared" si="5"/>
        <v>420</v>
      </c>
      <c r="H48" s="203">
        <f t="shared" si="5"/>
        <v>435</v>
      </c>
      <c r="I48" s="203">
        <f t="shared" si="5"/>
        <v>455</v>
      </c>
      <c r="J48" s="203">
        <f t="shared" si="5"/>
        <v>439</v>
      </c>
      <c r="K48" s="203">
        <f t="shared" si="5"/>
        <v>436</v>
      </c>
      <c r="L48" s="203">
        <f t="shared" si="5"/>
        <v>417</v>
      </c>
      <c r="M48" s="203">
        <f t="shared" si="5"/>
        <v>402</v>
      </c>
      <c r="N48" s="203">
        <f t="shared" si="5"/>
        <v>396.88054976449695</v>
      </c>
      <c r="O48" s="203">
        <f t="shared" si="5"/>
        <v>351</v>
      </c>
      <c r="P48" s="203">
        <f t="shared" si="5"/>
        <v>358</v>
      </c>
      <c r="Q48" s="203">
        <f t="shared" si="5"/>
        <v>352.0662827119329</v>
      </c>
      <c r="R48" s="203">
        <f t="shared" si="5"/>
        <v>344.15314190595086</v>
      </c>
      <c r="S48" s="203">
        <f t="shared" si="5"/>
        <v>334.90541041810184</v>
      </c>
      <c r="T48" s="203">
        <f t="shared" si="5"/>
        <v>325.06620164050895</v>
      </c>
      <c r="U48" s="203">
        <f t="shared" si="5"/>
        <v>321</v>
      </c>
      <c r="V48" s="203">
        <f t="shared" si="5"/>
        <v>310</v>
      </c>
      <c r="W48" s="203">
        <f t="shared" si="5"/>
        <v>329</v>
      </c>
      <c r="X48" s="203">
        <f t="shared" si="5"/>
        <v>295.02700689141369</v>
      </c>
      <c r="Y48" s="179">
        <f t="shared" si="5"/>
        <v>216.98274389202118</v>
      </c>
      <c r="Z48" s="179">
        <f t="shared" ref="Z48:AA48" si="6">Z46*1000/Z44/3</f>
        <v>212.61170123082113</v>
      </c>
      <c r="AA48" s="179">
        <f t="shared" si="6"/>
        <v>220.31403336604515</v>
      </c>
      <c r="AB48" s="179">
        <f t="shared" ref="AB48" si="7">AB46*1000/AB44/3</f>
        <v>220.9631728045326</v>
      </c>
      <c r="AC48" s="200"/>
      <c r="AD48" s="200"/>
      <c r="AE48" s="200"/>
      <c r="AF48" s="200"/>
      <c r="AG48" s="200"/>
      <c r="AH48" s="200"/>
      <c r="AI48" s="200"/>
      <c r="AJ48" s="200"/>
      <c r="AK48" s="200"/>
      <c r="AL48" s="200"/>
      <c r="AM48" s="200"/>
      <c r="AN48" s="200"/>
      <c r="AO48" s="200"/>
      <c r="AP48" s="200"/>
      <c r="AQ48" s="200"/>
      <c r="AR48" s="200"/>
      <c r="AS48" s="200"/>
      <c r="AT48" s="200"/>
      <c r="AU48" s="200"/>
      <c r="AV48" s="200"/>
      <c r="AW48" s="200"/>
      <c r="AX48" s="200"/>
      <c r="AY48" s="200"/>
      <c r="AZ48" s="200"/>
      <c r="BA48" s="200"/>
      <c r="BB48" s="200"/>
      <c r="BC48" s="200"/>
      <c r="BD48" s="14"/>
      <c r="BE48" s="14"/>
    </row>
    <row r="49" spans="1:57" s="21" customFormat="1">
      <c r="A49" s="14" t="s">
        <v>185</v>
      </c>
      <c r="B49" s="111"/>
      <c r="C49" s="111"/>
      <c r="D49" s="111"/>
      <c r="E49" s="111"/>
      <c r="F49" s="203">
        <f>'Revenue, EBITDA, capex breakout'!F9*1000/F44/3</f>
        <v>138.64263915128615</v>
      </c>
      <c r="G49" s="203">
        <f>'Revenue, EBITDA, capex breakout'!G9*1000/G44/3</f>
        <v>136.40764090576374</v>
      </c>
      <c r="H49" s="203">
        <f>'Revenue, EBITDA, capex breakout'!H9*1000/H44/3</f>
        <v>143.00000000000003</v>
      </c>
      <c r="I49" s="203">
        <f>'Revenue, EBITDA, capex breakout'!I9*1000/I44/3</f>
        <v>153.99999999999994</v>
      </c>
      <c r="J49" s="203">
        <f>'Revenue, EBITDA, capex breakout'!J9*1000/J44/3</f>
        <v>163.72900684200616</v>
      </c>
      <c r="K49" s="203">
        <f>'Revenue, EBITDA, capex breakout'!K9*1000/K44/3</f>
        <v>184.7977437934054</v>
      </c>
      <c r="L49" s="203">
        <f>'Revenue, EBITDA, capex breakout'!L9*1000/L44/3</f>
        <v>177.54455741094148</v>
      </c>
      <c r="M49" s="203">
        <f>'Revenue, EBITDA, capex breakout'!M9*1000/M44/3</f>
        <v>175.53468485488546</v>
      </c>
      <c r="N49" s="203">
        <f>'Revenue, EBITDA, capex breakout'!N9*1000/N44/3</f>
        <v>168.74417990888733</v>
      </c>
      <c r="O49" s="203">
        <f>'Revenue, EBITDA, capex breakout'!O9*1000/O44/3</f>
        <v>158.96389878327616</v>
      </c>
      <c r="P49" s="203">
        <f>'Revenue, EBITDA, capex breakout'!P9*1000/P44/3</f>
        <v>162.19571055448517</v>
      </c>
      <c r="Q49" s="203">
        <f>'Revenue, EBITDA, capex breakout'!Q9*1000/Q44/3</f>
        <v>149.79417536627253</v>
      </c>
      <c r="R49" s="203">
        <f>'Revenue, EBITDA, capex breakout'!R9*1000/R44/3</f>
        <v>147.00169155979268</v>
      </c>
      <c r="S49" s="203">
        <f>'Revenue, EBITDA, capex breakout'!S9*1000/S44/3</f>
        <v>142.91492565311853</v>
      </c>
      <c r="T49" s="203">
        <f>'Revenue, EBITDA, capex breakout'!T9*1000/T44/3</f>
        <v>133.52817144610214</v>
      </c>
      <c r="U49" s="203">
        <f>'Revenue, EBITDA, capex breakout'!U9*1000/U44/3</f>
        <v>139.09866292597877</v>
      </c>
      <c r="V49" s="203">
        <f>'Revenue, EBITDA, capex breakout'!V9*1000/V44/3</f>
        <v>141.76126103098429</v>
      </c>
      <c r="W49" s="203">
        <f>'Revenue, EBITDA, capex breakout'!W9*1000/W44/3</f>
        <v>154.03595870579107</v>
      </c>
      <c r="X49" s="203">
        <f>'Revenue, EBITDA, capex breakout'!X9*1000/X44/3</f>
        <v>152.34683650183129</v>
      </c>
      <c r="Y49" s="179">
        <f>'Revenue, EBITDA, capex breakout'!Y9*1000/Y44/3</f>
        <v>166.85361350811527</v>
      </c>
      <c r="Z49" s="179">
        <f>'Revenue, EBITDA, capex breakout'!Z9*1000/Z44/3</f>
        <v>163.83675695397068</v>
      </c>
      <c r="AA49" s="179">
        <f>'Revenue, EBITDA, capex breakout'!AA9*1000/AA44/3</f>
        <v>168.13869807000327</v>
      </c>
      <c r="AB49" s="179">
        <f>'Revenue, EBITDA, capex breakout'!AB9*1000/AB44/3</f>
        <v>159.35185679241428</v>
      </c>
      <c r="AC49" s="200"/>
      <c r="AD49" s="200"/>
      <c r="AE49" s="200"/>
      <c r="AF49" s="200"/>
      <c r="AG49" s="200"/>
      <c r="AH49" s="200"/>
      <c r="AI49" s="200"/>
      <c r="AJ49" s="200"/>
      <c r="AK49" s="200"/>
      <c r="AL49" s="200"/>
      <c r="AM49" s="200"/>
      <c r="AN49" s="200"/>
      <c r="AO49" s="200"/>
      <c r="AP49" s="200"/>
      <c r="AQ49" s="200"/>
      <c r="AR49" s="200"/>
      <c r="AS49" s="200"/>
      <c r="AT49" s="200"/>
      <c r="AU49" s="200"/>
      <c r="AV49" s="200"/>
      <c r="AW49" s="200"/>
      <c r="AX49" s="200"/>
      <c r="AY49" s="200"/>
      <c r="AZ49" s="200"/>
      <c r="BA49" s="200"/>
      <c r="BB49" s="200"/>
      <c r="BC49" s="200"/>
      <c r="BD49" s="14"/>
      <c r="BE49" s="14"/>
    </row>
    <row r="50" spans="1:57">
      <c r="A50" s="2"/>
      <c r="B50" s="85"/>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111"/>
      <c r="AF50" s="111"/>
      <c r="AG50" s="111"/>
      <c r="AH50" s="111"/>
      <c r="AI50" s="111"/>
      <c r="AJ50" s="111"/>
      <c r="AK50" s="111"/>
      <c r="AL50" s="111"/>
      <c r="AM50" s="111"/>
      <c r="AN50" s="111"/>
      <c r="AO50" s="111"/>
      <c r="AP50" s="111"/>
      <c r="AQ50" s="111"/>
      <c r="AR50" s="111"/>
      <c r="AS50" s="111"/>
      <c r="AT50" s="111"/>
      <c r="AU50" s="111"/>
      <c r="AV50" s="111"/>
      <c r="AW50" s="111"/>
      <c r="AX50" s="111"/>
      <c r="AY50" s="111"/>
      <c r="AZ50" s="111"/>
      <c r="BA50" s="111"/>
      <c r="BB50" s="111"/>
      <c r="BC50" s="111"/>
      <c r="BD50" s="2"/>
      <c r="BE50" s="2"/>
    </row>
    <row r="51" spans="1:57" s="27" customFormat="1">
      <c r="A51" s="510" t="s">
        <v>427</v>
      </c>
      <c r="B51" s="522" t="str">
        <f>'Revenue, EBITDA, capex breakout'!B$1</f>
        <v>Q1 12</v>
      </c>
      <c r="C51" s="522" t="str">
        <f>'Revenue, EBITDA, capex breakout'!C$1</f>
        <v>Q2 12</v>
      </c>
      <c r="D51" s="522" t="str">
        <f>'Revenue, EBITDA, capex breakout'!D$1</f>
        <v>Q3 12</v>
      </c>
      <c r="E51" s="522" t="str">
        <f>'Revenue, EBITDA, capex breakout'!E$1</f>
        <v>4Q12</v>
      </c>
      <c r="F51" s="522" t="str">
        <f>'Revenue, EBITDA, capex breakout'!F$1</f>
        <v>1Q13</v>
      </c>
      <c r="G51" s="522" t="str">
        <f>'Revenue, EBITDA, capex breakout'!G$1</f>
        <v>2Q13</v>
      </c>
      <c r="H51" s="522" t="str">
        <f>'Revenue, EBITDA, capex breakout'!H$1</f>
        <v>3Q13</v>
      </c>
      <c r="I51" s="522" t="str">
        <f>'Revenue, EBITDA, capex breakout'!I$1</f>
        <v>4Q13</v>
      </c>
      <c r="J51" s="522" t="str">
        <f>'Revenue, EBITDA, capex breakout'!J$1</f>
        <v>1Q14</v>
      </c>
      <c r="K51" s="522" t="str">
        <f>'Revenue, EBITDA, capex breakout'!K$1</f>
        <v>2Q14</v>
      </c>
      <c r="L51" s="522" t="str">
        <f>'Revenue, EBITDA, capex breakout'!L$1</f>
        <v>3Q14</v>
      </c>
      <c r="M51" s="522" t="str">
        <f>'Revenue, EBITDA, capex breakout'!M$1</f>
        <v>4Q14</v>
      </c>
      <c r="N51" s="522" t="str">
        <f>'Revenue, EBITDA, capex breakout'!N$1</f>
        <v>1Q15</v>
      </c>
      <c r="O51" s="522" t="str">
        <f>'Revenue, EBITDA, capex breakout'!O$1</f>
        <v>2Q15</v>
      </c>
      <c r="P51" s="522" t="str">
        <f>'Revenue, EBITDA, capex breakout'!P$1</f>
        <v>3Q15</v>
      </c>
      <c r="Q51" s="522" t="str">
        <f>'Revenue, EBITDA, capex breakout'!Q$1</f>
        <v>4Q15</v>
      </c>
      <c r="R51" s="522" t="str">
        <f>'Revenue, EBITDA, capex breakout'!R$1</f>
        <v>1Q16</v>
      </c>
      <c r="S51" s="522" t="str">
        <f>'Revenue, EBITDA, capex breakout'!S$1</f>
        <v>2Q16</v>
      </c>
      <c r="T51" s="522" t="str">
        <f>'Revenue, EBITDA, capex breakout'!T$1</f>
        <v>3Q16</v>
      </c>
      <c r="U51" s="522" t="str">
        <f>'Revenue, EBITDA, capex breakout'!U$1</f>
        <v>4Q16</v>
      </c>
      <c r="V51" s="522" t="str">
        <f>'Revenue, EBITDA, capex breakout'!V$1</f>
        <v>1Q17</v>
      </c>
      <c r="W51" s="522" t="str">
        <f>'Revenue, EBITDA, capex breakout'!W$1</f>
        <v>2Q17</v>
      </c>
      <c r="X51" s="522" t="str">
        <f>'Revenue, EBITDA, capex breakout'!X$1</f>
        <v>3Q17</v>
      </c>
      <c r="Y51" s="522" t="str">
        <f>'Revenue, EBITDA, capex breakout'!Y$1</f>
        <v>4Q17</v>
      </c>
      <c r="Z51" s="522" t="str">
        <f>'Revenue, EBITDA, capex breakout'!Z$1</f>
        <v>1Q18</v>
      </c>
      <c r="AA51" s="522" t="str">
        <f>'Revenue, EBITDA, capex breakout'!AA$1</f>
        <v>2Q18</v>
      </c>
      <c r="AB51" s="522" t="str">
        <f>'Revenue, EBITDA, capex breakout'!AB$1</f>
        <v>3Q18</v>
      </c>
      <c r="AC51" s="522" t="str">
        <f>'Revenue, EBITDA, capex breakout'!AC$1</f>
        <v>4Q18</v>
      </c>
      <c r="AD51" s="522" t="str">
        <f t="shared" ref="AD51:AI51" si="8">AD1</f>
        <v>1Q19</v>
      </c>
      <c r="AE51" s="522" t="str">
        <f t="shared" si="8"/>
        <v>2Q19</v>
      </c>
      <c r="AF51" s="522" t="str">
        <f t="shared" si="8"/>
        <v>3Q19</v>
      </c>
      <c r="AG51" s="522" t="str">
        <f t="shared" si="8"/>
        <v>4Q19</v>
      </c>
      <c r="AH51" s="522" t="str">
        <f t="shared" si="8"/>
        <v>1Q20</v>
      </c>
      <c r="AI51" s="522" t="str">
        <f t="shared" si="8"/>
        <v>2Q20</v>
      </c>
      <c r="AJ51" s="522" t="str">
        <f t="shared" ref="AJ51:AK51" si="9">AJ1</f>
        <v>3Q20</v>
      </c>
      <c r="AK51" s="522" t="str">
        <f t="shared" si="9"/>
        <v>4Q20</v>
      </c>
      <c r="AL51" s="522" t="str">
        <f t="shared" ref="AL51:AM51" si="10">AL1</f>
        <v>1Q21</v>
      </c>
      <c r="AM51" s="522" t="str">
        <f t="shared" si="10"/>
        <v>2Q21</v>
      </c>
      <c r="AN51" s="522" t="str">
        <f t="shared" ref="AN51:AO51" si="11">AN1</f>
        <v>3Q21</v>
      </c>
      <c r="AO51" s="522" t="str">
        <f t="shared" si="11"/>
        <v>4Q21</v>
      </c>
      <c r="AP51" s="522" t="str">
        <f t="shared" ref="AP51:AQ51" si="12">AP1</f>
        <v>1Q22</v>
      </c>
      <c r="AQ51" s="522" t="str">
        <f t="shared" si="12"/>
        <v>2Q22</v>
      </c>
      <c r="AR51" s="522" t="str">
        <f t="shared" ref="AR51:AS51" si="13">AR1</f>
        <v>3Q22</v>
      </c>
      <c r="AS51" s="522" t="str">
        <f t="shared" si="13"/>
        <v>4Q22</v>
      </c>
      <c r="AT51" s="522" t="str">
        <f t="shared" ref="AT51:AU51" si="14">AT1</f>
        <v>1Q23</v>
      </c>
      <c r="AU51" s="522" t="str">
        <f t="shared" si="14"/>
        <v>2Q23</v>
      </c>
      <c r="AV51" s="522" t="str">
        <f t="shared" ref="AV51:AW51" si="15">AV1</f>
        <v>3Q23</v>
      </c>
      <c r="AW51" s="522" t="str">
        <f t="shared" si="15"/>
        <v>4Q23</v>
      </c>
      <c r="AX51" s="522" t="str">
        <f t="shared" ref="AX51:AY51" si="16">AX1</f>
        <v>1Q24</v>
      </c>
      <c r="AY51" s="522" t="str">
        <f t="shared" si="16"/>
        <v>2Q24</v>
      </c>
      <c r="AZ51" s="522" t="str">
        <f t="shared" ref="AZ51:BA51" si="17">AZ1</f>
        <v>3Q24</v>
      </c>
      <c r="BA51" s="522" t="str">
        <f t="shared" si="17"/>
        <v>4Q24</v>
      </c>
      <c r="BB51" s="522" t="str">
        <f t="shared" ref="BB51:BC51" si="18">BB1</f>
        <v>1Q25</v>
      </c>
      <c r="BC51" s="522" t="str">
        <f t="shared" si="18"/>
        <v>2Q25</v>
      </c>
      <c r="BD51" s="510"/>
      <c r="BE51" s="510" t="s">
        <v>209</v>
      </c>
    </row>
    <row r="52" spans="1:57" s="27" customFormat="1">
      <c r="A52" s="510" t="s">
        <v>430</v>
      </c>
      <c r="B52" s="522"/>
      <c r="C52" s="522"/>
      <c r="D52" s="522"/>
      <c r="E52" s="522"/>
      <c r="F52" s="522"/>
      <c r="G52" s="522"/>
      <c r="H52" s="522"/>
      <c r="I52" s="522"/>
      <c r="J52" s="522"/>
      <c r="K52" s="522"/>
      <c r="L52" s="522"/>
      <c r="M52" s="522"/>
      <c r="N52" s="522" t="s">
        <v>579</v>
      </c>
      <c r="O52" s="522"/>
      <c r="P52" s="522"/>
      <c r="Q52" s="522"/>
      <c r="R52" s="522"/>
      <c r="S52" s="522"/>
      <c r="T52" s="522"/>
      <c r="U52" s="522"/>
      <c r="V52" s="522"/>
      <c r="W52" s="522"/>
      <c r="X52" s="522"/>
      <c r="Y52" s="522"/>
      <c r="Z52" s="522"/>
      <c r="AA52" s="522"/>
      <c r="AB52" s="522"/>
      <c r="AC52" s="522"/>
      <c r="AD52" s="522"/>
      <c r="AE52" s="523"/>
      <c r="AF52" s="523"/>
      <c r="AG52" s="523"/>
      <c r="AH52" s="523"/>
      <c r="AI52" s="523"/>
      <c r="AJ52" s="523"/>
      <c r="AK52" s="523"/>
      <c r="AL52" s="523"/>
      <c r="AM52" s="523"/>
      <c r="AN52" s="523"/>
      <c r="AO52" s="523"/>
      <c r="AP52" s="523"/>
      <c r="AQ52" s="523"/>
      <c r="AR52" s="523"/>
      <c r="AS52" s="523"/>
      <c r="AT52" s="523"/>
      <c r="AU52" s="523"/>
      <c r="AV52" s="523"/>
      <c r="AW52" s="523"/>
      <c r="AX52" s="523"/>
      <c r="AY52" s="523"/>
      <c r="AZ52" s="523"/>
      <c r="BA52" s="523"/>
      <c r="BB52" s="523"/>
      <c r="BC52" s="523"/>
      <c r="BD52" s="510"/>
      <c r="BE52" s="510"/>
    </row>
    <row r="53" spans="1:57" s="27" customFormat="1">
      <c r="A53" s="176"/>
      <c r="B53" s="233"/>
      <c r="C53" s="233"/>
      <c r="D53" s="233"/>
      <c r="E53" s="233"/>
      <c r="F53" s="233"/>
      <c r="G53" s="233"/>
      <c r="H53" s="233"/>
      <c r="I53" s="233"/>
      <c r="J53" s="233"/>
      <c r="K53" s="233"/>
      <c r="L53" s="233"/>
      <c r="M53" s="233"/>
      <c r="N53" s="233"/>
      <c r="O53" s="233"/>
      <c r="P53" s="233"/>
      <c r="Q53" s="233"/>
      <c r="R53" s="233"/>
      <c r="S53" s="233"/>
      <c r="T53" s="233"/>
      <c r="U53" s="233"/>
      <c r="V53" s="233"/>
      <c r="W53" s="233"/>
      <c r="X53" s="233"/>
      <c r="Y53" s="233"/>
      <c r="Z53" s="233"/>
      <c r="AA53" s="233"/>
      <c r="AB53" s="233"/>
      <c r="AC53" s="233"/>
      <c r="AD53" s="233"/>
      <c r="AE53" s="234"/>
      <c r="AF53" s="234"/>
      <c r="AG53" s="234"/>
      <c r="AH53" s="234"/>
      <c r="AI53" s="234"/>
      <c r="AJ53" s="234"/>
      <c r="AK53" s="234"/>
      <c r="AL53" s="234"/>
      <c r="AM53" s="234"/>
      <c r="AN53" s="234"/>
      <c r="AO53" s="234"/>
      <c r="AP53" s="234"/>
      <c r="AQ53" s="234"/>
      <c r="AR53" s="234"/>
      <c r="AS53" s="234"/>
      <c r="AT53" s="234"/>
      <c r="AU53" s="234"/>
      <c r="AV53" s="234"/>
      <c r="AW53" s="234"/>
      <c r="AX53" s="234"/>
      <c r="AY53" s="234"/>
      <c r="AZ53" s="234"/>
      <c r="BA53" s="234"/>
      <c r="BB53" s="234"/>
      <c r="BC53" s="234"/>
      <c r="BD53" s="176"/>
      <c r="BE53" s="176"/>
    </row>
    <row r="54" spans="1:57">
      <c r="A54" s="2" t="s">
        <v>136</v>
      </c>
      <c r="B54" s="113"/>
      <c r="C54" s="113"/>
      <c r="D54" s="113"/>
      <c r="E54" s="235"/>
      <c r="F54" s="235">
        <f>'Revenue, EBITDA, capex breakout'!F10*(100%-F21)</f>
        <v>50130.0079558383</v>
      </c>
      <c r="G54" s="235">
        <f>'Revenue, EBITDA, capex breakout'!G10*(100%-G21)</f>
        <v>51985.582157838267</v>
      </c>
      <c r="H54" s="235">
        <f>'Revenue, EBITDA, capex breakout'!H10*(100%-H21)</f>
        <v>52890.773950175295</v>
      </c>
      <c r="I54" s="235">
        <f>'Revenue, EBITDA, capex breakout'!I10*(100%-I21)</f>
        <v>50676.95501914234</v>
      </c>
      <c r="J54" s="235">
        <f>'Revenue, EBITDA, capex breakout'!J10*(100%-J21)</f>
        <v>48980.573343359909</v>
      </c>
      <c r="K54" s="235">
        <f>'Revenue, EBITDA, capex breakout'!K10*(100%-K21)</f>
        <v>57705.751093292565</v>
      </c>
      <c r="L54" s="235">
        <f>'Revenue, EBITDA, capex breakout'!L10*(100%-L21)</f>
        <v>58107.569738874903</v>
      </c>
      <c r="M54" s="235">
        <f>'Revenue, EBITDA, capex breakout'!M10*(100%-M21)</f>
        <v>56148.186706680484</v>
      </c>
      <c r="N54" s="235">
        <f>'Revenue, EBITDA, capex breakout'!N10*(100%-N21)</f>
        <v>54697.841725441365</v>
      </c>
      <c r="O54" s="235">
        <f>'Revenue, EBITDA, capex breakout'!O10*(100%-O21)</f>
        <v>52538.331960895215</v>
      </c>
      <c r="P54" s="235">
        <f>'Revenue, EBITDA, capex breakout'!P10*(100%-P21)</f>
        <v>52259.350672820314</v>
      </c>
      <c r="Q54" s="235">
        <f>'Revenue, EBITDA, capex breakout'!Q10*(100%-Q21)</f>
        <v>46520.400302236812</v>
      </c>
      <c r="R54" s="235">
        <f>'Revenue, EBITDA, capex breakout'!R10*(100%-R21)</f>
        <v>44844.808445941439</v>
      </c>
      <c r="S54" s="235">
        <f>'Revenue, EBITDA, capex breakout'!S10*(100%-S21)</f>
        <v>45568.402475963769</v>
      </c>
      <c r="T54" s="235">
        <f>'Revenue, EBITDA, capex breakout'!T10*(100%-T21)</f>
        <v>45149.876753750403</v>
      </c>
      <c r="U54" s="235">
        <f>'Revenue, EBITDA, capex breakout'!U10*(100%-U21)</f>
        <v>45277.812542409541</v>
      </c>
      <c r="V54" s="235">
        <f>'Revenue, EBITDA, capex breakout'!V10*(100%-V21)</f>
        <v>42822.817930641002</v>
      </c>
      <c r="W54" s="235">
        <f>'Revenue, EBITDA, capex breakout'!W10*(100%-W21)</f>
        <v>37181.676875308483</v>
      </c>
      <c r="X54" s="169"/>
      <c r="Y54" s="169"/>
      <c r="Z54" s="169"/>
      <c r="AA54" s="169"/>
      <c r="AB54" s="169"/>
      <c r="AC54" s="169"/>
      <c r="AD54" s="169"/>
      <c r="AE54" s="169"/>
      <c r="AF54" s="169"/>
      <c r="AG54" s="169"/>
      <c r="AH54" s="169"/>
      <c r="AI54" s="169"/>
      <c r="AJ54" s="169"/>
      <c r="AK54" s="169"/>
      <c r="AL54" s="169"/>
      <c r="AM54" s="169"/>
      <c r="AN54" s="169"/>
      <c r="AO54" s="169"/>
      <c r="AP54" s="169"/>
      <c r="AQ54" s="169"/>
      <c r="AR54" s="169"/>
      <c r="AS54" s="169"/>
      <c r="AT54" s="169"/>
      <c r="AU54" s="169"/>
      <c r="AV54" s="169"/>
      <c r="AW54" s="169"/>
      <c r="AX54" s="169"/>
      <c r="AY54" s="169"/>
      <c r="AZ54" s="169"/>
      <c r="BA54" s="169"/>
      <c r="BB54" s="169"/>
      <c r="BC54" s="169"/>
      <c r="BD54" s="2"/>
      <c r="BE54" s="2"/>
    </row>
    <row r="55" spans="1:57">
      <c r="A55" s="2" t="s">
        <v>181</v>
      </c>
      <c r="B55" s="118"/>
      <c r="C55" s="118"/>
      <c r="D55" s="118"/>
      <c r="E55" s="236"/>
      <c r="F55" s="236">
        <f>'Revenue, EBITDA, capex breakout'!F$10*F23</f>
        <v>4004.1979350713514</v>
      </c>
      <c r="G55" s="236">
        <f>'Revenue, EBITDA, capex breakout'!G$10*G23</f>
        <v>4123.1200319630188</v>
      </c>
      <c r="H55" s="236">
        <f>'Revenue, EBITDA, capex breakout'!H$10*H23</f>
        <v>4864.3224861501112</v>
      </c>
      <c r="I55" s="236">
        <f>'Revenue, EBITDA, capex breakout'!I$10*I23</f>
        <v>5325.0733248056722</v>
      </c>
      <c r="J55" s="236">
        <f>'Revenue, EBITDA, capex breakout'!J$10*J23</f>
        <v>5164.5616570171096</v>
      </c>
      <c r="K55" s="236">
        <f>'Revenue, EBITDA, capex breakout'!K$10*K23</f>
        <v>6186.499159778602</v>
      </c>
      <c r="L55" s="236">
        <f>'Revenue, EBITDA, capex breakout'!L$10*L23</f>
        <v>6695.4976776356889</v>
      </c>
      <c r="M55" s="236">
        <f>'Revenue, EBITDA, capex breakout'!M$10*M23</f>
        <v>6872.887655862618</v>
      </c>
      <c r="N55" s="236">
        <f>'Revenue, EBITDA, capex breakout'!N$10*N23</f>
        <v>6411.0189733830593</v>
      </c>
      <c r="O55" s="236">
        <f>'Revenue, EBITDA, capex breakout'!O$10*O23</f>
        <v>6755.7348271974724</v>
      </c>
      <c r="P55" s="236">
        <f>'Revenue, EBITDA, capex breakout'!P$10*P23</f>
        <v>6194.5297798349266</v>
      </c>
      <c r="Q55" s="236">
        <f>'Revenue, EBITDA, capex breakout'!Q$10*Q23</f>
        <v>5777.4378085837216</v>
      </c>
      <c r="R55" s="236">
        <f>'Revenue, EBITDA, capex breakout'!R$10*R23</f>
        <v>5996.4185503767449</v>
      </c>
      <c r="S55" s="236">
        <f>'Revenue, EBITDA, capex breakout'!S$10*S23</f>
        <v>6240.623097761234</v>
      </c>
      <c r="T55" s="236">
        <f>'Revenue, EBITDA, capex breakout'!T$10*T23</f>
        <v>6080.5033611528024</v>
      </c>
      <c r="U55" s="236">
        <f>'Revenue, EBITDA, capex breakout'!U$10*U23</f>
        <v>6470.6060451983885</v>
      </c>
      <c r="V55" s="236">
        <f>'Revenue, EBITDA, capex breakout'!V$10*V23</f>
        <v>6439.8218989351735</v>
      </c>
      <c r="W55" s="236">
        <f>'Revenue, EBITDA, capex breakout'!W$10*W23</f>
        <v>5481.3736658548141</v>
      </c>
      <c r="X55" s="169"/>
      <c r="Y55" s="169"/>
      <c r="Z55" s="169"/>
      <c r="AA55" s="169"/>
      <c r="AB55" s="169"/>
      <c r="AC55" s="169"/>
      <c r="AD55" s="169"/>
      <c r="AE55" s="169"/>
      <c r="AF55" s="169"/>
      <c r="AG55" s="169"/>
      <c r="AH55" s="169"/>
      <c r="AI55" s="169"/>
      <c r="AJ55" s="169"/>
      <c r="AK55" s="169"/>
      <c r="AL55" s="169"/>
      <c r="AM55" s="169"/>
      <c r="AN55" s="169"/>
      <c r="AO55" s="169"/>
      <c r="AP55" s="169"/>
      <c r="AQ55" s="169"/>
      <c r="AR55" s="169"/>
      <c r="AS55" s="169"/>
      <c r="AT55" s="169"/>
      <c r="AU55" s="169"/>
      <c r="AV55" s="169"/>
      <c r="AW55" s="169"/>
      <c r="AX55" s="169"/>
      <c r="AY55" s="169"/>
      <c r="AZ55" s="169"/>
      <c r="BA55" s="169"/>
      <c r="BB55" s="169"/>
      <c r="BC55" s="169"/>
      <c r="BD55" s="15"/>
      <c r="BE55" s="14"/>
    </row>
    <row r="56" spans="1:57">
      <c r="A56" s="2" t="s">
        <v>180</v>
      </c>
      <c r="B56" s="118"/>
      <c r="C56" s="118"/>
      <c r="D56" s="118"/>
      <c r="E56" s="236"/>
      <c r="F56" s="236">
        <f>'Revenue, EBITDA, capex breakout'!F$10*F24</f>
        <v>1929.8817532155485</v>
      </c>
      <c r="G56" s="236">
        <f>'Revenue, EBITDA, capex breakout'!G$10*G24</f>
        <v>2167.4324674430868</v>
      </c>
      <c r="H56" s="236">
        <f>'Revenue, EBITDA, capex breakout'!H$10*H24</f>
        <v>2447.391605873881</v>
      </c>
      <c r="I56" s="236">
        <f>'Revenue, EBITDA, capex breakout'!I$10*I24</f>
        <v>2686.86119589283</v>
      </c>
      <c r="J56" s="236">
        <f>'Revenue, EBITDA, capex breakout'!J$10*J24</f>
        <v>3201.2864192275297</v>
      </c>
      <c r="K56" s="236">
        <f>'Revenue, EBITDA, capex breakout'!K$10*K24</f>
        <v>4602.9561133422449</v>
      </c>
      <c r="L56" s="236">
        <f>'Revenue, EBITDA, capex breakout'!L$10*L24</f>
        <v>5322.4714855213797</v>
      </c>
      <c r="M56" s="236">
        <f>'Revenue, EBITDA, capex breakout'!M$10*M24</f>
        <v>5445.0809250089806</v>
      </c>
      <c r="N56" s="236">
        <f>'Revenue, EBITDA, capex breakout'!N$10*N24</f>
        <v>6109.7153187668728</v>
      </c>
      <c r="O56" s="236">
        <f>'Revenue, EBITDA, capex breakout'!O$10*O24</f>
        <v>6953.6710680926362</v>
      </c>
      <c r="P56" s="236">
        <f>'Revenue, EBITDA, capex breakout'!P$10*P24</f>
        <v>7161.3627795839684</v>
      </c>
      <c r="Q56" s="236">
        <f>'Revenue, EBITDA, capex breakout'!Q$10*Q24</f>
        <v>7136.4658184834716</v>
      </c>
      <c r="R56" s="236">
        <f>'Revenue, EBITDA, capex breakout'!R$10*R24</f>
        <v>7943.7194245809924</v>
      </c>
      <c r="S56" s="236">
        <f>'Revenue, EBITDA, capex breakout'!S$10*S24</f>
        <v>8487.3410435446403</v>
      </c>
      <c r="T56" s="236">
        <f>'Revenue, EBITDA, capex breakout'!T$10*T24</f>
        <v>8880.1965820085879</v>
      </c>
      <c r="U56" s="236">
        <f>'Revenue, EBITDA, capex breakout'!U$10*U24</f>
        <v>10159.496015403618</v>
      </c>
      <c r="V56" s="236">
        <f>'Revenue, EBITDA, capex breakout'!V$10*V24</f>
        <v>10558.367227308754</v>
      </c>
      <c r="W56" s="236">
        <f>'Revenue, EBITDA, capex breakout'!W$10*W24</f>
        <v>8689.9230779096306</v>
      </c>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69"/>
      <c r="AV56" s="169"/>
      <c r="AW56" s="169"/>
      <c r="AX56" s="169"/>
      <c r="AY56" s="169"/>
      <c r="AZ56" s="169"/>
      <c r="BA56" s="169"/>
      <c r="BB56" s="169"/>
      <c r="BC56" s="169"/>
      <c r="BD56" s="15"/>
      <c r="BE56" s="14"/>
    </row>
    <row r="57" spans="1:57">
      <c r="A57" s="2" t="s">
        <v>182</v>
      </c>
      <c r="B57" s="118"/>
      <c r="C57" s="118"/>
      <c r="D57" s="118"/>
      <c r="E57" s="236"/>
      <c r="F57" s="236">
        <f>'Revenue, EBITDA, capex breakout'!F$10*F25</f>
        <v>1442.3483558748053</v>
      </c>
      <c r="G57" s="236">
        <f>'Revenue, EBITDA, capex breakout'!G$10*G25</f>
        <v>1474.4934427556268</v>
      </c>
      <c r="H57" s="236">
        <f>'Revenue, EBITDA, capex breakout'!H$10*H25</f>
        <v>2050.1969578007088</v>
      </c>
      <c r="I57" s="236">
        <f>'Revenue, EBITDA, capex breakout'!I$10*I25</f>
        <v>2911.1104601591569</v>
      </c>
      <c r="J57" s="236">
        <f>'Revenue, EBITDA, capex breakout'!J$10*J25</f>
        <v>1962.7715633954499</v>
      </c>
      <c r="K57" s="236">
        <f>'Revenue, EBITDA, capex breakout'!K$10*K25</f>
        <v>1762.6165255865847</v>
      </c>
      <c r="L57" s="236">
        <f>'Revenue, EBITDA, capex breakout'!L$10*L25</f>
        <v>2179.7203529132316</v>
      </c>
      <c r="M57" s="236">
        <f>'Revenue, EBITDA, capex breakout'!M$10*M25</f>
        <v>2157.0440248609548</v>
      </c>
      <c r="N57" s="236">
        <f>'Revenue, EBITDA, capex breakout'!N$10*N25</f>
        <v>2466.7857234086973</v>
      </c>
      <c r="O57" s="236">
        <f>'Revenue, EBITDA, capex breakout'!O$10*O25</f>
        <v>2708.6144228146618</v>
      </c>
      <c r="P57" s="236">
        <f>'Revenue, EBITDA, capex breakout'!P$10*P25</f>
        <v>2660.4057047607844</v>
      </c>
      <c r="Q57" s="236">
        <f>'Revenue, EBITDA, capex breakout'!Q$10*Q25</f>
        <v>2718.2220226959889</v>
      </c>
      <c r="R57" s="236">
        <f>'Revenue, EBITDA, capex breakout'!R$10*R25</f>
        <v>2809.5876501008256</v>
      </c>
      <c r="S57" s="236">
        <f>'Revenue, EBITDA, capex breakout'!S$10*S25</f>
        <v>2424.945717730357</v>
      </c>
      <c r="T57" s="236">
        <f>'Revenue, EBITDA, capex breakout'!T$10*T25</f>
        <v>2395.0250690882194</v>
      </c>
      <c r="U57" s="236">
        <f>'Revenue, EBITDA, capex breakout'!U$10*U25</f>
        <v>2603.1047939884415</v>
      </c>
      <c r="V57" s="236">
        <f>'Revenue, EBITDA, capex breakout'!V$10*V25</f>
        <v>2672.4857331150647</v>
      </c>
      <c r="W57" s="236">
        <f>'Revenue, EBITDA, capex breakout'!W$10*W25</f>
        <v>1694.7226744690861</v>
      </c>
      <c r="X57" s="169"/>
      <c r="Y57" s="169"/>
      <c r="Z57" s="169"/>
      <c r="AA57" s="169"/>
      <c r="AB57" s="169"/>
      <c r="AC57" s="169"/>
      <c r="AD57" s="169"/>
      <c r="AE57" s="169"/>
      <c r="AF57" s="169"/>
      <c r="AG57" s="169"/>
      <c r="AH57" s="169"/>
      <c r="AI57" s="169"/>
      <c r="AJ57" s="169"/>
      <c r="AK57" s="169"/>
      <c r="AL57" s="169"/>
      <c r="AM57" s="169"/>
      <c r="AN57" s="169"/>
      <c r="AO57" s="169"/>
      <c r="AP57" s="169"/>
      <c r="AQ57" s="169"/>
      <c r="AR57" s="169"/>
      <c r="AS57" s="169"/>
      <c r="AT57" s="169"/>
      <c r="AU57" s="169"/>
      <c r="AV57" s="169"/>
      <c r="AW57" s="169"/>
      <c r="AX57" s="169"/>
      <c r="AY57" s="169"/>
      <c r="AZ57" s="169"/>
      <c r="BA57" s="169"/>
      <c r="BB57" s="169"/>
      <c r="BC57" s="169"/>
      <c r="BD57" s="15"/>
      <c r="BE57" s="14"/>
    </row>
    <row r="58" spans="1:57">
      <c r="A58" s="2"/>
      <c r="B58" s="85"/>
      <c r="C58" s="85"/>
      <c r="D58" s="85"/>
      <c r="E58" s="237"/>
      <c r="F58" s="237"/>
      <c r="G58" s="237"/>
      <c r="H58" s="237"/>
      <c r="I58" s="237"/>
      <c r="J58" s="237"/>
      <c r="K58" s="237"/>
      <c r="L58" s="237"/>
      <c r="M58" s="237"/>
      <c r="N58" s="237"/>
      <c r="O58" s="237"/>
      <c r="P58" s="237"/>
      <c r="Q58" s="237"/>
      <c r="R58" s="237"/>
      <c r="S58" s="237"/>
      <c r="T58" s="237"/>
      <c r="U58" s="237"/>
      <c r="V58" s="237"/>
      <c r="W58" s="237"/>
      <c r="X58" s="85"/>
      <c r="Y58" s="85"/>
      <c r="Z58" s="85"/>
      <c r="AA58" s="85"/>
      <c r="AB58" s="85"/>
      <c r="AC58" s="85"/>
      <c r="AD58" s="85"/>
      <c r="AE58" s="111"/>
      <c r="AF58" s="111"/>
      <c r="AG58" s="111"/>
      <c r="AH58" s="111"/>
      <c r="AI58" s="111"/>
      <c r="AJ58" s="111"/>
      <c r="AK58" s="111"/>
      <c r="AL58" s="111"/>
      <c r="AM58" s="111"/>
      <c r="AN58" s="111"/>
      <c r="AO58" s="111"/>
      <c r="AP58" s="111"/>
      <c r="AQ58" s="111"/>
      <c r="AR58" s="111"/>
      <c r="AS58" s="111"/>
      <c r="AT58" s="111"/>
      <c r="AU58" s="111"/>
      <c r="AV58" s="111"/>
      <c r="AW58" s="111"/>
      <c r="AX58" s="111"/>
      <c r="AY58" s="111"/>
      <c r="AZ58" s="111"/>
      <c r="BA58" s="111"/>
      <c r="BB58" s="111"/>
      <c r="BC58" s="111"/>
      <c r="BD58" s="2"/>
      <c r="BE58" s="2"/>
    </row>
    <row r="59" spans="1:57">
      <c r="A59" s="2" t="s">
        <v>131</v>
      </c>
      <c r="B59" s="85"/>
      <c r="C59" s="114"/>
      <c r="D59" s="114"/>
      <c r="E59" s="238"/>
      <c r="F59" s="238"/>
      <c r="G59" s="238"/>
      <c r="H59" s="238"/>
      <c r="I59" s="238"/>
      <c r="J59" s="238"/>
      <c r="K59" s="238"/>
      <c r="L59" s="238"/>
      <c r="M59" s="238"/>
      <c r="N59" s="238"/>
      <c r="O59" s="238"/>
      <c r="P59" s="238"/>
      <c r="Q59" s="238"/>
      <c r="R59" s="238"/>
      <c r="S59" s="238"/>
      <c r="T59" s="238"/>
      <c r="U59" s="238"/>
      <c r="V59" s="238"/>
      <c r="W59" s="238"/>
      <c r="X59" s="180"/>
      <c r="Y59" s="180"/>
      <c r="Z59" s="180"/>
      <c r="AA59" s="180"/>
      <c r="AB59" s="180"/>
      <c r="AC59" s="180"/>
      <c r="AD59" s="180"/>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
      <c r="BE59" s="2"/>
    </row>
    <row r="60" spans="1:57">
      <c r="A60" s="2" t="s">
        <v>22</v>
      </c>
      <c r="B60" s="85"/>
      <c r="C60" s="114"/>
      <c r="D60" s="114"/>
      <c r="E60" s="238"/>
      <c r="F60" s="238"/>
      <c r="G60" s="238"/>
      <c r="H60" s="238"/>
      <c r="I60" s="238"/>
      <c r="J60" s="238">
        <f t="shared" ref="J60:W63" si="19">J54/F54-1</f>
        <v>-2.2929073011338397E-2</v>
      </c>
      <c r="K60" s="238">
        <f t="shared" si="19"/>
        <v>0.11003375740001831</v>
      </c>
      <c r="L60" s="238">
        <f t="shared" si="19"/>
        <v>9.8633379681945854E-2</v>
      </c>
      <c r="M60" s="238">
        <f t="shared" si="19"/>
        <v>0.10796291303357664</v>
      </c>
      <c r="N60" s="238">
        <f t="shared" si="19"/>
        <v>0.11672522373314598</v>
      </c>
      <c r="O60" s="238">
        <f t="shared" si="19"/>
        <v>-8.9547731976371114E-2</v>
      </c>
      <c r="P60" s="238">
        <f t="shared" si="19"/>
        <v>-0.10064470244299406</v>
      </c>
      <c r="Q60" s="238">
        <f t="shared" si="19"/>
        <v>-0.17147101214041816</v>
      </c>
      <c r="R60" s="238">
        <f t="shared" si="19"/>
        <v>-0.18013568668683011</v>
      </c>
      <c r="S60" s="238">
        <f t="shared" si="19"/>
        <v>-0.13266369952740853</v>
      </c>
      <c r="T60" s="238">
        <f t="shared" si="19"/>
        <v>-0.13604214035455853</v>
      </c>
      <c r="U60" s="238">
        <f t="shared" si="19"/>
        <v>-2.6710599043738736E-2</v>
      </c>
      <c r="V60" s="238">
        <f t="shared" si="19"/>
        <v>-4.5088619739291791E-2</v>
      </c>
      <c r="W60" s="238">
        <f t="shared" si="19"/>
        <v>-0.18404695238282887</v>
      </c>
      <c r="X60" s="169"/>
      <c r="Y60" s="169"/>
      <c r="Z60" s="169"/>
      <c r="AA60" s="169"/>
      <c r="AB60" s="169"/>
      <c r="AC60" s="169"/>
      <c r="AD60" s="169"/>
      <c r="AE60" s="169"/>
      <c r="AF60" s="169"/>
      <c r="AG60" s="169"/>
      <c r="AH60" s="169"/>
      <c r="AI60" s="169"/>
      <c r="AJ60" s="169"/>
      <c r="AK60" s="169"/>
      <c r="AL60" s="169"/>
      <c r="AM60" s="169"/>
      <c r="AN60" s="169"/>
      <c r="AO60" s="169"/>
      <c r="AP60" s="169"/>
      <c r="AQ60" s="169"/>
      <c r="AR60" s="169"/>
      <c r="AS60" s="169"/>
      <c r="AT60" s="169"/>
      <c r="AU60" s="169"/>
      <c r="AV60" s="169"/>
      <c r="AW60" s="169"/>
      <c r="AX60" s="169"/>
      <c r="AY60" s="169"/>
      <c r="AZ60" s="169"/>
      <c r="BA60" s="169"/>
      <c r="BB60" s="169"/>
      <c r="BC60" s="169"/>
      <c r="BD60" s="2"/>
      <c r="BE60" s="2"/>
    </row>
    <row r="61" spans="1:57">
      <c r="A61" s="2" t="s">
        <v>105</v>
      </c>
      <c r="B61" s="85"/>
      <c r="C61" s="114"/>
      <c r="D61" s="114"/>
      <c r="E61" s="238"/>
      <c r="F61" s="238"/>
      <c r="G61" s="238"/>
      <c r="H61" s="238"/>
      <c r="I61" s="238"/>
      <c r="J61" s="238">
        <f t="shared" si="19"/>
        <v>0.28978680393957146</v>
      </c>
      <c r="K61" s="238">
        <f t="shared" si="19"/>
        <v>0.50044119788411967</v>
      </c>
      <c r="L61" s="238">
        <f t="shared" si="19"/>
        <v>0.37645020384634686</v>
      </c>
      <c r="M61" s="238">
        <f t="shared" si="19"/>
        <v>0.29066535550727468</v>
      </c>
      <c r="N61" s="238">
        <f t="shared" si="19"/>
        <v>0.24134813351920847</v>
      </c>
      <c r="O61" s="238">
        <f t="shared" si="19"/>
        <v>9.2012566835819598E-2</v>
      </c>
      <c r="P61" s="238">
        <f t="shared" si="19"/>
        <v>-7.4821607283069635E-2</v>
      </c>
      <c r="Q61" s="238">
        <f t="shared" si="19"/>
        <v>-0.15938713130927884</v>
      </c>
      <c r="R61" s="238">
        <f t="shared" si="19"/>
        <v>-6.4669972858859337E-2</v>
      </c>
      <c r="S61" s="238">
        <f t="shared" si="19"/>
        <v>-7.6248068139454506E-2</v>
      </c>
      <c r="T61" s="238">
        <f t="shared" si="19"/>
        <v>-1.8407598758071186E-2</v>
      </c>
      <c r="U61" s="238">
        <f t="shared" si="19"/>
        <v>0.11997848520062049</v>
      </c>
      <c r="V61" s="238">
        <f t="shared" si="19"/>
        <v>7.3944696293851919E-2</v>
      </c>
      <c r="W61" s="238">
        <f t="shared" si="19"/>
        <v>-0.12166243979367919</v>
      </c>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69"/>
      <c r="AV61" s="169"/>
      <c r="AW61" s="169"/>
      <c r="AX61" s="169"/>
      <c r="AY61" s="169"/>
      <c r="AZ61" s="169"/>
      <c r="BA61" s="169"/>
      <c r="BB61" s="169"/>
      <c r="BC61" s="169"/>
      <c r="BD61" s="15"/>
      <c r="BE61" s="14"/>
    </row>
    <row r="62" spans="1:57">
      <c r="A62" s="2" t="s">
        <v>128</v>
      </c>
      <c r="B62" s="85"/>
      <c r="C62" s="114"/>
      <c r="D62" s="114"/>
      <c r="E62" s="238"/>
      <c r="F62" s="238"/>
      <c r="G62" s="238"/>
      <c r="H62" s="238"/>
      <c r="I62" s="238"/>
      <c r="J62" s="238">
        <f t="shared" si="19"/>
        <v>0.65879925746413237</v>
      </c>
      <c r="K62" s="238">
        <f t="shared" si="19"/>
        <v>1.1236906720200319</v>
      </c>
      <c r="L62" s="238">
        <f t="shared" si="19"/>
        <v>1.1747526929270906</v>
      </c>
      <c r="M62" s="238">
        <f t="shared" si="19"/>
        <v>1.0265583251313468</v>
      </c>
      <c r="N62" s="238">
        <f t="shared" si="19"/>
        <v>0.90851880108907812</v>
      </c>
      <c r="O62" s="238">
        <f t="shared" si="19"/>
        <v>0.51069679937563373</v>
      </c>
      <c r="P62" s="238">
        <f t="shared" si="19"/>
        <v>0.34549575306601277</v>
      </c>
      <c r="Q62" s="238">
        <f t="shared" si="19"/>
        <v>0.31062621782277766</v>
      </c>
      <c r="R62" s="238">
        <f t="shared" si="19"/>
        <v>0.30017832421433965</v>
      </c>
      <c r="S62" s="238">
        <f t="shared" si="19"/>
        <v>0.2205554390528115</v>
      </c>
      <c r="T62" s="238">
        <f t="shared" si="19"/>
        <v>0.24001490433144523</v>
      </c>
      <c r="U62" s="238">
        <f t="shared" si="19"/>
        <v>0.42360326158789796</v>
      </c>
      <c r="V62" s="238">
        <f t="shared" si="19"/>
        <v>0.32914654495940687</v>
      </c>
      <c r="W62" s="238">
        <f t="shared" si="19"/>
        <v>2.3868727947379043E-2</v>
      </c>
      <c r="X62" s="169"/>
      <c r="Y62" s="169"/>
      <c r="Z62" s="169"/>
      <c r="AA62" s="169"/>
      <c r="AB62" s="169"/>
      <c r="AC62" s="169"/>
      <c r="AD62" s="169"/>
      <c r="AE62" s="169"/>
      <c r="AF62" s="169"/>
      <c r="AG62" s="169"/>
      <c r="AH62" s="169"/>
      <c r="AI62" s="169"/>
      <c r="AJ62" s="169"/>
      <c r="AK62" s="169"/>
      <c r="AL62" s="169"/>
      <c r="AM62" s="169"/>
      <c r="AN62" s="169"/>
      <c r="AO62" s="169"/>
      <c r="AP62" s="169"/>
      <c r="AQ62" s="169"/>
      <c r="AR62" s="169"/>
      <c r="AS62" s="169"/>
      <c r="AT62" s="169"/>
      <c r="AU62" s="169"/>
      <c r="AV62" s="169"/>
      <c r="AW62" s="169"/>
      <c r="AX62" s="169"/>
      <c r="AY62" s="169"/>
      <c r="AZ62" s="169"/>
      <c r="BA62" s="169"/>
      <c r="BB62" s="169"/>
      <c r="BC62" s="169"/>
      <c r="BD62" s="15"/>
      <c r="BE62" s="14"/>
    </row>
    <row r="63" spans="1:57">
      <c r="A63" s="2" t="s">
        <v>107</v>
      </c>
      <c r="B63" s="85"/>
      <c r="C63" s="114"/>
      <c r="D63" s="114"/>
      <c r="E63" s="238"/>
      <c r="F63" s="238"/>
      <c r="G63" s="238"/>
      <c r="H63" s="238"/>
      <c r="I63" s="238"/>
      <c r="J63" s="238">
        <f t="shared" si="19"/>
        <v>0.36081658456566146</v>
      </c>
      <c r="K63" s="238">
        <f t="shared" si="19"/>
        <v>0.19540479087685547</v>
      </c>
      <c r="L63" s="238">
        <f t="shared" si="19"/>
        <v>6.3176074191167109E-2</v>
      </c>
      <c r="M63" s="238">
        <f t="shared" si="19"/>
        <v>-0.2590305127950987</v>
      </c>
      <c r="N63" s="238">
        <f t="shared" si="19"/>
        <v>0.2567869686991695</v>
      </c>
      <c r="O63" s="238">
        <f t="shared" si="19"/>
        <v>0.53670091224933714</v>
      </c>
      <c r="P63" s="238">
        <f t="shared" si="19"/>
        <v>0.22052615658018193</v>
      </c>
      <c r="Q63" s="238">
        <f t="shared" si="19"/>
        <v>0.26016066031438934</v>
      </c>
      <c r="R63" s="238">
        <f t="shared" si="19"/>
        <v>0.13896704664661019</v>
      </c>
      <c r="S63" s="238">
        <f t="shared" si="19"/>
        <v>-0.10472834475625725</v>
      </c>
      <c r="T63" s="238">
        <f t="shared" si="19"/>
        <v>-9.9751942043150632E-2</v>
      </c>
      <c r="U63" s="238">
        <f t="shared" si="19"/>
        <v>-4.2350193525903301E-2</v>
      </c>
      <c r="V63" s="238">
        <f t="shared" si="19"/>
        <v>-4.8797878571555042E-2</v>
      </c>
      <c r="W63" s="238">
        <f t="shared" si="19"/>
        <v>-0.30112964505643769</v>
      </c>
      <c r="X63" s="169"/>
      <c r="Y63" s="169"/>
      <c r="Z63" s="169"/>
      <c r="AA63" s="169"/>
      <c r="AB63" s="169"/>
      <c r="AC63" s="169"/>
      <c r="AD63" s="169"/>
      <c r="AE63" s="169"/>
      <c r="AF63" s="169"/>
      <c r="AG63" s="169"/>
      <c r="AH63" s="169"/>
      <c r="AI63" s="169"/>
      <c r="AJ63" s="169"/>
      <c r="AK63" s="169"/>
      <c r="AL63" s="169"/>
      <c r="AM63" s="169"/>
      <c r="AN63" s="169"/>
      <c r="AO63" s="169"/>
      <c r="AP63" s="169"/>
      <c r="AQ63" s="169"/>
      <c r="AR63" s="169"/>
      <c r="AS63" s="169"/>
      <c r="AT63" s="169"/>
      <c r="AU63" s="169"/>
      <c r="AV63" s="169"/>
      <c r="AW63" s="169"/>
      <c r="AX63" s="169"/>
      <c r="AY63" s="169"/>
      <c r="AZ63" s="169"/>
      <c r="BA63" s="169"/>
      <c r="BB63" s="169"/>
      <c r="BC63" s="169"/>
      <c r="BD63" s="15"/>
      <c r="BE63" s="14"/>
    </row>
    <row r="64" spans="1:57">
      <c r="A64" s="2"/>
      <c r="B64" s="85"/>
      <c r="C64" s="114"/>
      <c r="D64" s="114"/>
      <c r="E64" s="238"/>
      <c r="F64" s="238"/>
      <c r="G64" s="238"/>
      <c r="H64" s="238"/>
      <c r="I64" s="238"/>
      <c r="J64" s="238"/>
      <c r="K64" s="238"/>
      <c r="L64" s="238"/>
      <c r="M64" s="238"/>
      <c r="N64" s="238"/>
      <c r="O64" s="238"/>
      <c r="P64" s="238"/>
      <c r="Q64" s="238"/>
      <c r="R64" s="238"/>
      <c r="S64" s="238"/>
      <c r="T64" s="238"/>
      <c r="U64" s="238"/>
      <c r="V64" s="238"/>
      <c r="W64" s="238"/>
      <c r="X64" s="180"/>
      <c r="Y64" s="180"/>
      <c r="Z64" s="180"/>
      <c r="AA64" s="180"/>
      <c r="AB64" s="180"/>
      <c r="AC64" s="180"/>
      <c r="AD64" s="180"/>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
      <c r="BE64" s="2"/>
    </row>
    <row r="65" spans="1:57">
      <c r="A65" s="2" t="s">
        <v>129</v>
      </c>
      <c r="B65" s="85"/>
      <c r="C65" s="114"/>
      <c r="D65" s="114"/>
      <c r="E65" s="238"/>
      <c r="F65" s="238"/>
      <c r="G65" s="238">
        <f t="shared" ref="G65:W65" si="20">G54/F54-1</f>
        <v>3.7015238530076155E-2</v>
      </c>
      <c r="H65" s="238">
        <f t="shared" si="20"/>
        <v>1.7412362327475561E-2</v>
      </c>
      <c r="I65" s="238">
        <f t="shared" si="20"/>
        <v>-4.1856429121616578E-2</v>
      </c>
      <c r="J65" s="238">
        <f t="shared" si="20"/>
        <v>-3.3474419983237969E-2</v>
      </c>
      <c r="K65" s="238">
        <f t="shared" si="20"/>
        <v>0.1781354760543139</v>
      </c>
      <c r="L65" s="238">
        <f t="shared" si="20"/>
        <v>6.9632339579588365E-3</v>
      </c>
      <c r="M65" s="238">
        <f t="shared" si="20"/>
        <v>-3.3719927386389403E-2</v>
      </c>
      <c r="N65" s="238">
        <f t="shared" si="20"/>
        <v>-2.5830664644893253E-2</v>
      </c>
      <c r="O65" s="238">
        <f t="shared" si="20"/>
        <v>-3.9480712518529026E-2</v>
      </c>
      <c r="P65" s="238">
        <f t="shared" si="20"/>
        <v>-5.3100522544672346E-3</v>
      </c>
      <c r="Q65" s="238">
        <f t="shared" si="20"/>
        <v>-0.10981671790208991</v>
      </c>
      <c r="R65" s="238">
        <f t="shared" si="20"/>
        <v>-3.6018431600099654E-2</v>
      </c>
      <c r="S65" s="238">
        <f t="shared" si="20"/>
        <v>1.613551390000012E-2</v>
      </c>
      <c r="T65" s="238">
        <f t="shared" si="20"/>
        <v>-9.1845599027555735E-3</v>
      </c>
      <c r="U65" s="238">
        <f t="shared" si="20"/>
        <v>2.8335800196510608E-3</v>
      </c>
      <c r="V65" s="238">
        <f t="shared" si="20"/>
        <v>-5.4220698260744493E-2</v>
      </c>
      <c r="W65" s="238">
        <f t="shared" si="20"/>
        <v>-0.1317321308576499</v>
      </c>
      <c r="X65" s="169"/>
      <c r="Y65" s="169"/>
      <c r="Z65" s="169"/>
      <c r="AA65" s="169"/>
      <c r="AB65" s="169"/>
      <c r="AC65" s="169"/>
      <c r="AD65" s="169"/>
      <c r="AE65" s="169"/>
      <c r="AF65" s="169"/>
      <c r="AG65" s="169"/>
      <c r="AH65" s="169"/>
      <c r="AI65" s="169"/>
      <c r="AJ65" s="169"/>
      <c r="AK65" s="169"/>
      <c r="AL65" s="169"/>
      <c r="AM65" s="169"/>
      <c r="AN65" s="169"/>
      <c r="AO65" s="169"/>
      <c r="AP65" s="169"/>
      <c r="AQ65" s="169"/>
      <c r="AR65" s="169"/>
      <c r="AS65" s="169"/>
      <c r="AT65" s="169"/>
      <c r="AU65" s="169"/>
      <c r="AV65" s="169"/>
      <c r="AW65" s="169"/>
      <c r="AX65" s="169"/>
      <c r="AY65" s="169"/>
      <c r="AZ65" s="169"/>
      <c r="BA65" s="169"/>
      <c r="BB65" s="169"/>
      <c r="BC65" s="169"/>
      <c r="BD65" s="2"/>
      <c r="BE65" s="2"/>
    </row>
    <row r="66" spans="1:57">
      <c r="A66" s="2" t="s">
        <v>130</v>
      </c>
      <c r="B66" s="85"/>
      <c r="C66" s="114"/>
      <c r="D66" s="114"/>
      <c r="E66" s="238"/>
      <c r="F66" s="238"/>
      <c r="G66" s="238">
        <f t="shared" ref="G66:W66" si="21">G56/F56-1</f>
        <v>0.12309081311937065</v>
      </c>
      <c r="H66" s="238">
        <f t="shared" si="21"/>
        <v>0.12916625668206461</v>
      </c>
      <c r="I66" s="238">
        <f t="shared" si="21"/>
        <v>9.7846862530789114E-2</v>
      </c>
      <c r="J66" s="238">
        <f t="shared" si="21"/>
        <v>0.19145954548044997</v>
      </c>
      <c r="K66" s="238">
        <f t="shared" si="21"/>
        <v>0.43784576278336829</v>
      </c>
      <c r="L66" s="238">
        <f t="shared" si="21"/>
        <v>0.15631593142796407</v>
      </c>
      <c r="M66" s="238">
        <f t="shared" si="21"/>
        <v>2.3036185317503843E-2</v>
      </c>
      <c r="N66" s="238">
        <f t="shared" si="21"/>
        <v>0.12206143543344972</v>
      </c>
      <c r="O66" s="238">
        <f t="shared" si="21"/>
        <v>0.13813339988745987</v>
      </c>
      <c r="P66" s="238">
        <f t="shared" si="21"/>
        <v>2.9867922922661494E-2</v>
      </c>
      <c r="Q66" s="238">
        <f t="shared" si="21"/>
        <v>-3.4765675007381036E-3</v>
      </c>
      <c r="R66" s="238">
        <f t="shared" si="21"/>
        <v>0.11311672004463769</v>
      </c>
      <c r="S66" s="238">
        <f t="shared" si="21"/>
        <v>6.8434141478042276E-2</v>
      </c>
      <c r="T66" s="238">
        <f t="shared" si="21"/>
        <v>4.6287233710579967E-2</v>
      </c>
      <c r="U66" s="238">
        <f t="shared" si="21"/>
        <v>0.1440620623181823</v>
      </c>
      <c r="V66" s="238">
        <f t="shared" si="21"/>
        <v>3.9260925079391384E-2</v>
      </c>
      <c r="W66" s="238">
        <f t="shared" si="21"/>
        <v>-0.17696336082784414</v>
      </c>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69"/>
      <c r="AV66" s="169"/>
      <c r="AW66" s="169"/>
      <c r="AX66" s="169"/>
      <c r="AY66" s="169"/>
      <c r="AZ66" s="169"/>
      <c r="BA66" s="169"/>
      <c r="BB66" s="169"/>
      <c r="BC66" s="169"/>
      <c r="BD66" s="15"/>
      <c r="BE66" s="14"/>
    </row>
    <row r="67" spans="1:57">
      <c r="A67" s="2"/>
      <c r="B67" s="85"/>
      <c r="C67" s="114"/>
      <c r="D67" s="114"/>
      <c r="E67" s="238"/>
      <c r="F67" s="238"/>
      <c r="G67" s="238"/>
      <c r="H67" s="238"/>
      <c r="I67" s="238"/>
      <c r="J67" s="238"/>
      <c r="K67" s="238"/>
      <c r="L67" s="238"/>
      <c r="M67" s="238"/>
      <c r="N67" s="238"/>
      <c r="O67" s="238"/>
      <c r="P67" s="238"/>
      <c r="Q67" s="238"/>
      <c r="R67" s="238"/>
      <c r="S67" s="238"/>
      <c r="T67" s="238"/>
      <c r="U67" s="238"/>
      <c r="V67" s="238"/>
      <c r="W67" s="238"/>
      <c r="X67" s="180"/>
      <c r="Y67" s="180"/>
      <c r="Z67" s="180"/>
      <c r="AA67" s="180"/>
      <c r="AB67" s="180"/>
      <c r="AC67" s="180"/>
      <c r="AD67" s="180"/>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
      <c r="BE67" s="2"/>
    </row>
    <row r="68" spans="1:57">
      <c r="A68" s="2"/>
      <c r="B68" s="85"/>
      <c r="C68" s="114"/>
      <c r="D68" s="114"/>
      <c r="E68" s="238"/>
      <c r="F68" s="238"/>
      <c r="G68" s="238"/>
      <c r="H68" s="238"/>
      <c r="I68" s="238"/>
      <c r="J68" s="238"/>
      <c r="K68" s="238"/>
      <c r="L68" s="238"/>
      <c r="M68" s="238"/>
      <c r="N68" s="238"/>
      <c r="O68" s="238"/>
      <c r="P68" s="238"/>
      <c r="Q68" s="238"/>
      <c r="R68" s="238"/>
      <c r="S68" s="238"/>
      <c r="T68" s="238"/>
      <c r="U68" s="238"/>
      <c r="V68" s="238"/>
      <c r="W68" s="238"/>
      <c r="X68" s="114"/>
      <c r="Y68" s="114"/>
      <c r="Z68" s="114"/>
      <c r="AA68" s="114"/>
      <c r="AB68" s="114"/>
      <c r="AC68" s="114"/>
      <c r="AD68" s="114"/>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2"/>
      <c r="BE68" s="2"/>
    </row>
    <row r="69" spans="1:57">
      <c r="A69" s="2" t="s">
        <v>174</v>
      </c>
      <c r="B69" s="113">
        <f>B5</f>
        <v>46305</v>
      </c>
      <c r="C69" s="113">
        <f t="shared" ref="C69:AC69" si="22">AVERAGE(C5,B5)</f>
        <v>47371</v>
      </c>
      <c r="D69" s="113">
        <f t="shared" si="22"/>
        <v>49693</v>
      </c>
      <c r="E69" s="235">
        <f t="shared" si="22"/>
        <v>52044.447</v>
      </c>
      <c r="F69" s="235">
        <f t="shared" si="22"/>
        <v>54497.235648196016</v>
      </c>
      <c r="G69" s="235">
        <f t="shared" si="22"/>
        <v>57260.577148196011</v>
      </c>
      <c r="H69" s="235">
        <f t="shared" si="22"/>
        <v>60176.912249999994</v>
      </c>
      <c r="I69" s="235">
        <f t="shared" si="22"/>
        <v>62702.535244999999</v>
      </c>
      <c r="J69" s="235">
        <f t="shared" si="22"/>
        <v>63960.599705000001</v>
      </c>
      <c r="K69" s="235">
        <f t="shared" si="22"/>
        <v>65290.917710000002</v>
      </c>
      <c r="L69" s="235">
        <f t="shared" si="22"/>
        <v>67342.915000000008</v>
      </c>
      <c r="M69" s="235">
        <f t="shared" si="22"/>
        <v>68875.246500000008</v>
      </c>
      <c r="N69" s="235">
        <f t="shared" si="22"/>
        <v>69264.464345</v>
      </c>
      <c r="O69" s="235">
        <f t="shared" si="22"/>
        <v>70226.316344999999</v>
      </c>
      <c r="P69" s="235">
        <f t="shared" si="22"/>
        <v>72982.725999999995</v>
      </c>
      <c r="Q69" s="235">
        <f t="shared" si="22"/>
        <v>75430.709000000003</v>
      </c>
      <c r="R69" s="235">
        <f t="shared" si="22"/>
        <v>77293.074000000008</v>
      </c>
      <c r="S69" s="235">
        <f t="shared" si="22"/>
        <v>79578.972999999998</v>
      </c>
      <c r="T69" s="235">
        <f t="shared" si="22"/>
        <v>78590.110000000015</v>
      </c>
      <c r="U69" s="235">
        <f t="shared" si="22"/>
        <v>75510.41</v>
      </c>
      <c r="V69" s="235">
        <f t="shared" si="22"/>
        <v>75221.885999999999</v>
      </c>
      <c r="W69" s="235">
        <f t="shared" si="22"/>
        <v>76956.852500000008</v>
      </c>
      <c r="X69" s="113">
        <f t="shared" si="22"/>
        <v>77535.143500000006</v>
      </c>
      <c r="Y69" s="113">
        <f t="shared" si="22"/>
        <v>76825.769</v>
      </c>
      <c r="Z69" s="113">
        <f t="shared" si="22"/>
        <v>76793.639412000004</v>
      </c>
      <c r="AA69" s="113">
        <f t="shared" si="22"/>
        <v>77801.332411999989</v>
      </c>
      <c r="AB69" s="113">
        <f t="shared" si="22"/>
        <v>81435.655499999993</v>
      </c>
      <c r="AC69" s="113">
        <f t="shared" si="22"/>
        <v>86695.97649999999</v>
      </c>
      <c r="AD69" s="113">
        <f t="shared" ref="AD69:AO69" si="23">AVERAGE(AD5,AC5)</f>
        <v>90227.576159999997</v>
      </c>
      <c r="AE69" s="189">
        <f t="shared" si="23"/>
        <v>92644.201820000002</v>
      </c>
      <c r="AF69" s="189">
        <f t="shared" si="23"/>
        <v>96008.826659999992</v>
      </c>
      <c r="AG69" s="189">
        <f t="shared" si="23"/>
        <v>98386.5</v>
      </c>
      <c r="AH69" s="189">
        <f t="shared" si="23"/>
        <v>99260.670499999993</v>
      </c>
      <c r="AI69" s="189">
        <f t="shared" si="23"/>
        <v>101775.67049999999</v>
      </c>
      <c r="AJ69" s="189">
        <f t="shared" si="23"/>
        <v>105510.28057249999</v>
      </c>
      <c r="AK69" s="189">
        <f t="shared" si="23"/>
        <v>108871.78057249999</v>
      </c>
      <c r="AL69" s="189">
        <f t="shared" si="23"/>
        <v>111032.33716</v>
      </c>
      <c r="AM69" s="189">
        <f t="shared" si="23"/>
        <v>113915.85216000001</v>
      </c>
      <c r="AN69" s="189">
        <f t="shared" si="23"/>
        <v>117637.12849999999</v>
      </c>
      <c r="AO69" s="189">
        <f t="shared" si="23"/>
        <v>118547.74799999999</v>
      </c>
      <c r="AP69" s="189">
        <f t="shared" ref="AP69:BC69" si="24">AVERAGE(AP5,AO5)</f>
        <v>119494.1345</v>
      </c>
      <c r="AQ69" s="189">
        <f t="shared" si="24"/>
        <v>121746.5</v>
      </c>
      <c r="AR69" s="189">
        <f t="shared" si="24"/>
        <v>124229.5</v>
      </c>
      <c r="AS69" s="189">
        <f t="shared" si="24"/>
        <v>127095</v>
      </c>
      <c r="AT69" s="189">
        <f t="shared" si="24"/>
        <v>129991.849</v>
      </c>
      <c r="AU69" s="189">
        <f t="shared" si="24"/>
        <v>133107.84899999999</v>
      </c>
      <c r="AV69" s="189">
        <f t="shared" si="24"/>
        <v>136580.86900000001</v>
      </c>
      <c r="AW69" s="189">
        <f t="shared" si="24"/>
        <v>139274.6545</v>
      </c>
      <c r="AX69" s="189">
        <f t="shared" si="24"/>
        <v>141575.33100000001</v>
      </c>
      <c r="AY69" s="189">
        <f t="shared" si="24"/>
        <v>145384.4265</v>
      </c>
      <c r="AZ69" s="189">
        <f t="shared" si="24"/>
        <v>149418.20250000001</v>
      </c>
      <c r="BA69" s="189">
        <f t="shared" si="24"/>
        <v>151944.60950000002</v>
      </c>
      <c r="BB69" s="189">
        <f t="shared" si="24"/>
        <v>154067.52394350001</v>
      </c>
      <c r="BC69" s="189">
        <f t="shared" si="24"/>
        <v>156029.48286449999</v>
      </c>
      <c r="BD69" s="2"/>
      <c r="BE69" s="2"/>
    </row>
    <row r="70" spans="1:57">
      <c r="A70" s="2" t="s">
        <v>173</v>
      </c>
      <c r="B70" s="113">
        <f>'Revenue, EBITDA, capex breakout'!B10*1000/B69/3</f>
        <v>315.02213583846236</v>
      </c>
      <c r="C70" s="113">
        <f>'Revenue, EBITDA, capex breakout'!C10*1000/C69/3</f>
        <v>327.59846038012006</v>
      </c>
      <c r="D70" s="113">
        <f>'Revenue, EBITDA, capex breakout'!D10*1000/D69/3</f>
        <v>361.60022538385687</v>
      </c>
      <c r="E70" s="235">
        <f>'Revenue, EBITDA, capex breakout'!E10*1000/E69/3</f>
        <v>348.46368912326034</v>
      </c>
      <c r="F70" s="235">
        <f>'Revenue, EBITDA, capex breakout'!F10*1000/F69/3</f>
        <v>352.09125328607684</v>
      </c>
      <c r="G70" s="235">
        <f>'Revenue, EBITDA, capex breakout'!G10*1000/G69/3</f>
        <v>348.03759105947444</v>
      </c>
      <c r="H70" s="235">
        <f>'Revenue, EBITDA, capex breakout'!H10*1000/H69/3</f>
        <v>345.17667806504431</v>
      </c>
      <c r="I70" s="235">
        <f>'Revenue, EBITDA, capex breakout'!I10*1000/I69/3</f>
        <v>327.47213893509507</v>
      </c>
      <c r="J70" s="235">
        <f>'Revenue, EBITDA, capex breakout'!J10*1000/J69/3</f>
        <v>309.09233317879404</v>
      </c>
      <c r="K70" s="235">
        <f>'Revenue, EBITDA, capex breakout'!K10*1000/K69/3</f>
        <v>358.69114907151038</v>
      </c>
      <c r="L70" s="235">
        <f>'Revenue, EBITDA, capex breakout'!L10*1000/L69/3</f>
        <v>357.86011268841963</v>
      </c>
      <c r="M70" s="235">
        <f>'Revenue, EBITDA, capex breakout'!M10*1000/M69/3</f>
        <v>341.79284480189364</v>
      </c>
      <c r="N70" s="235">
        <f>'Revenue, EBITDA, capex breakout'!N10*1000/N69/3</f>
        <v>335.35889049784384</v>
      </c>
      <c r="O70" s="235">
        <f>'Revenue, EBITDA, capex breakout'!O10*1000/O69/3</f>
        <v>327.30537433782382</v>
      </c>
      <c r="P70" s="235">
        <f>'Revenue, EBITDA, capex breakout'!P10*1000/P69/3</f>
        <v>311.83474354831122</v>
      </c>
      <c r="Q70" s="235">
        <f>'Revenue, EBITDA, capex breakout'!Q10*1000/Q69/3</f>
        <v>274.65615695945093</v>
      </c>
      <c r="R70" s="235">
        <f>'Revenue, EBITDA, capex breakout'!R10*1000/R69/3</f>
        <v>265.63196796908346</v>
      </c>
      <c r="S70" s="235">
        <f>'Revenue, EBITDA, capex breakout'!S10*1000/S69/3</f>
        <v>262.72146175682195</v>
      </c>
      <c r="T70" s="235">
        <f>'Revenue, EBITDA, capex breakout'!T10*1000/T69/3</f>
        <v>265.11224616770056</v>
      </c>
      <c r="U70" s="235">
        <f>'Revenue, EBITDA, capex breakout'!U10*1000/U69/3</f>
        <v>284.7775973184801</v>
      </c>
      <c r="V70" s="235">
        <f>'Revenue, EBITDA, capex breakout'!V10*1000/V69/3</f>
        <v>276.92956626125186</v>
      </c>
      <c r="W70" s="235">
        <f>'Revenue, EBITDA, capex breakout'!W10*1000/W69/3</f>
        <v>229.77246153850521</v>
      </c>
      <c r="X70" s="113">
        <f>'Revenue, EBITDA, capex breakout'!X10*1000/X69/3</f>
        <v>230.25544759389854</v>
      </c>
      <c r="Y70" s="113">
        <f>'Revenue, EBITDA, capex breakout'!Y10*1000/Y69/3</f>
        <v>218.97183893155272</v>
      </c>
      <c r="Z70" s="113">
        <f>'Revenue, EBITDA, capex breakout'!Z10*1000/Z69/3</f>
        <v>210.64251719171614</v>
      </c>
      <c r="AA70" s="113">
        <f>'Revenue, EBITDA, capex breakout'!AA10*1000/AA69/3</f>
        <v>222.91820455581706</v>
      </c>
      <c r="AB70" s="113">
        <f>'Revenue, EBITDA, capex breakout'!AB10*1000/AB69/3</f>
        <v>209.95468441156785</v>
      </c>
      <c r="AC70" s="113">
        <f>'Revenue, EBITDA, capex breakout'!AC10*1000/AC69/3</f>
        <v>181.91512984525798</v>
      </c>
      <c r="AD70" s="113">
        <f>'Revenue, EBITDA, capex breakout'!AD10*1000/AD69/3</f>
        <v>184.84095403470349</v>
      </c>
      <c r="AE70" s="189">
        <f>'Revenue, EBITDA, capex breakout'!AE10*1000/AE69/3</f>
        <v>193.30150031037454</v>
      </c>
      <c r="AF70" s="189">
        <f>'Revenue, EBITDA, capex breakout'!AF10*1000/AF69/3</f>
        <v>194.95961089689357</v>
      </c>
      <c r="AG70" s="189">
        <f>'Revenue, EBITDA, capex breakout'!AG10*1000/AG69/3</f>
        <v>186.72862268506819</v>
      </c>
      <c r="AH70" s="189">
        <f>'Revenue, EBITDA, capex breakout'!AH10*1000/AH69/3</f>
        <v>186.15325207940626</v>
      </c>
      <c r="AI70" s="189">
        <f>'Revenue, EBITDA, capex breakout'!AI10*1000/AI69/3</f>
        <v>193.74964471494198</v>
      </c>
      <c r="AJ70" s="189">
        <f>'Revenue, EBITDA, capex breakout'!AJ10*1000/AJ69/3</f>
        <v>198.06092840695632</v>
      </c>
      <c r="AK70" s="189">
        <f>'Revenue, EBITDA, capex breakout'!AK10*1000/AK69/3</f>
        <v>198.66927399025576</v>
      </c>
      <c r="AL70" s="189">
        <f>'Revenue, EBITDA, capex breakout'!AL10*1000/AL69/3</f>
        <v>193.675671334507</v>
      </c>
      <c r="AM70" s="189">
        <f>'Revenue, EBITDA, capex breakout'!AM10*1000/AM69/3</f>
        <v>209.68797671514804</v>
      </c>
      <c r="AN70" s="189">
        <f>'Revenue, EBITDA, capex breakout'!AN10*1000/AN69/3</f>
        <v>216.60264892280159</v>
      </c>
      <c r="AO70" s="189">
        <f>'Revenue, EBITDA, capex breakout'!AO10*1000/AO69/3</f>
        <v>213.74647807807082</v>
      </c>
      <c r="AP70" s="189">
        <f>'Revenue, EBITDA, capex breakout'!AP10*1000/AP69/3</f>
        <v>228.10925480912479</v>
      </c>
      <c r="AQ70" s="189">
        <f>'Revenue, EBITDA, capex breakout'!AQ10*1000/AQ69/3</f>
        <v>235.23106774659905</v>
      </c>
      <c r="AR70" s="189">
        <f>'Revenue, EBITDA, capex breakout'!AR10*1000/AR69/3</f>
        <v>244.31395119516699</v>
      </c>
      <c r="AS70" s="189">
        <f>'Revenue, EBITDA, capex breakout'!AS10*1000/AS69/3</f>
        <v>240.95199011251441</v>
      </c>
      <c r="AT70" s="189">
        <f>'Revenue, EBITDA, capex breakout'!AT10*1000/AT69/3</f>
        <v>248.78676425477261</v>
      </c>
      <c r="AU70" s="189">
        <f>'Revenue, EBITDA, capex breakout'!AU10*1000/AU69/3</f>
        <v>261.5718888438052</v>
      </c>
      <c r="AV70" s="189">
        <f>'Revenue, EBITDA, capex breakout'!AV10*1000/AV69/3</f>
        <v>270.6011089001708</v>
      </c>
      <c r="AW70" s="189">
        <f>'Revenue, EBITDA, capex breakout'!AW10*1000/AW69/3</f>
        <v>264.02217427125885</v>
      </c>
      <c r="AX70" s="189">
        <f>'Revenue, EBITDA, capex breakout'!AX10*1000/AX69/3</f>
        <v>266.45056282944984</v>
      </c>
      <c r="AY70" s="189">
        <f>'Revenue, EBITDA, capex breakout'!AY10*1000/AY69/3</f>
        <v>235.62276059423303</v>
      </c>
      <c r="AZ70" s="189">
        <f>'Revenue, EBITDA, capex breakout'!AZ10*1000/AZ69/3</f>
        <v>229.71844341589281</v>
      </c>
      <c r="BA70" s="189">
        <f>'Revenue, EBITDA, capex breakout'!BA10*1000/BA69/3</f>
        <v>203.87364016763613</v>
      </c>
      <c r="BB70" s="189">
        <f>'Revenue, EBITDA, capex breakout'!BB10*1000/BB69/3</f>
        <v>208.500243311422</v>
      </c>
      <c r="BC70" s="189">
        <f>'Revenue, EBITDA, capex breakout'!BC10*1000/BC69/3</f>
        <v>217.11955821285392</v>
      </c>
      <c r="BD70" s="2"/>
      <c r="BE70" s="2"/>
    </row>
    <row r="71" spans="1:57">
      <c r="A71" s="2"/>
      <c r="B71" s="113"/>
      <c r="C71" s="113"/>
      <c r="D71" s="113"/>
      <c r="E71" s="235"/>
      <c r="F71" s="235"/>
      <c r="G71" s="235"/>
      <c r="H71" s="235"/>
      <c r="I71" s="235"/>
      <c r="J71" s="235"/>
      <c r="K71" s="235"/>
      <c r="L71" s="235"/>
      <c r="M71" s="235"/>
      <c r="N71" s="235"/>
      <c r="O71" s="235"/>
      <c r="P71" s="235"/>
      <c r="Q71" s="235"/>
      <c r="R71" s="235"/>
      <c r="S71" s="235"/>
      <c r="T71" s="235"/>
      <c r="U71" s="235"/>
      <c r="V71" s="235"/>
      <c r="W71" s="235"/>
      <c r="X71" s="113"/>
      <c r="Y71" s="113"/>
      <c r="Z71" s="113"/>
      <c r="AA71" s="113"/>
      <c r="AB71" s="113"/>
      <c r="AC71" s="113"/>
      <c r="AD71" s="113"/>
      <c r="AE71" s="189"/>
      <c r="AF71" s="189"/>
      <c r="AG71" s="189"/>
      <c r="AH71" s="189"/>
      <c r="AI71" s="189"/>
      <c r="AJ71" s="189"/>
      <c r="AK71" s="189"/>
      <c r="AL71" s="189"/>
      <c r="AM71" s="189"/>
      <c r="AN71" s="189"/>
      <c r="AO71" s="189"/>
      <c r="AP71" s="189"/>
      <c r="AQ71" s="189"/>
      <c r="AR71" s="189"/>
      <c r="AS71" s="189"/>
      <c r="AT71" s="189"/>
      <c r="AU71" s="189"/>
      <c r="AV71" s="189"/>
      <c r="AW71" s="189"/>
      <c r="AX71" s="189"/>
      <c r="AY71" s="189"/>
      <c r="AZ71" s="189"/>
      <c r="BA71" s="189"/>
      <c r="BB71" s="189"/>
      <c r="BC71" s="189"/>
      <c r="BD71" s="2"/>
      <c r="BE71" s="2"/>
    </row>
    <row r="72" spans="1:57">
      <c r="A72" s="2" t="s">
        <v>116</v>
      </c>
      <c r="B72" s="85"/>
      <c r="C72" s="114"/>
      <c r="D72" s="114"/>
      <c r="E72" s="238"/>
      <c r="F72" s="238">
        <f t="shared" ref="F72:AC72" si="25">F5/B5-1</f>
        <v>0.20623209796764974</v>
      </c>
      <c r="G72" s="238">
        <f t="shared" si="25"/>
        <v>0.21119344715816424</v>
      </c>
      <c r="H72" s="238">
        <f t="shared" si="25"/>
        <v>0.21076463718620575</v>
      </c>
      <c r="I72" s="238">
        <f t="shared" si="25"/>
        <v>0.19905814998426608</v>
      </c>
      <c r="J72" s="238">
        <f t="shared" si="25"/>
        <v>0.1494738574298955</v>
      </c>
      <c r="K72" s="238">
        <f t="shared" si="25"/>
        <v>0.13145273500446431</v>
      </c>
      <c r="L72" s="238">
        <f t="shared" si="25"/>
        <v>0.10731753755101492</v>
      </c>
      <c r="M72" s="238">
        <f t="shared" si="25"/>
        <v>8.9853964579087009E-2</v>
      </c>
      <c r="N72" s="238">
        <f t="shared" si="25"/>
        <v>7.6046316288111537E-2</v>
      </c>
      <c r="O72" s="238">
        <f t="shared" si="25"/>
        <v>7.5150388772960097E-2</v>
      </c>
      <c r="P72" s="238">
        <f t="shared" si="25"/>
        <v>9.2102139313779308E-2</v>
      </c>
      <c r="Q72" s="238">
        <f t="shared" si="25"/>
        <v>9.8205118139705894E-2</v>
      </c>
      <c r="R72" s="238">
        <f t="shared" si="25"/>
        <v>0.13371124623977382</v>
      </c>
      <c r="S72" s="238">
        <f t="shared" si="25"/>
        <v>0.13266337499722924</v>
      </c>
      <c r="T72" s="238">
        <f t="shared" si="25"/>
        <v>2.3418715513607413E-2</v>
      </c>
      <c r="U72" s="238">
        <f t="shared" si="25"/>
        <v>-2.0817517407440533E-2</v>
      </c>
      <c r="V72" s="238">
        <f t="shared" si="25"/>
        <v>-3.2618290768847924E-2</v>
      </c>
      <c r="W72" s="238">
        <f t="shared" si="25"/>
        <v>-3.3271239453308565E-2</v>
      </c>
      <c r="X72" s="114"/>
      <c r="Y72" s="114"/>
      <c r="Z72" s="114"/>
      <c r="AA72" s="114"/>
      <c r="AB72" s="114">
        <f t="shared" si="25"/>
        <v>9.3654489966378263E-2</v>
      </c>
      <c r="AC72" s="114">
        <f t="shared" si="25"/>
        <v>0.16338616497112168</v>
      </c>
      <c r="AD72" s="114">
        <f t="shared" ref="AD72:AN72" si="26">AD5/Z5-1</f>
        <v>0.18646469917076569</v>
      </c>
      <c r="AE72" s="117">
        <f t="shared" si="26"/>
        <v>0.19499047671781811</v>
      </c>
      <c r="AF72" s="117">
        <f t="shared" si="26"/>
        <v>0.16394297646970668</v>
      </c>
      <c r="AG72" s="117">
        <f t="shared" si="26"/>
        <v>0.10742034479421703</v>
      </c>
      <c r="AH72" s="117">
        <f t="shared" si="26"/>
        <v>9.2963428016499927E-2</v>
      </c>
      <c r="AI72" s="117">
        <f t="shared" si="26"/>
        <v>0.10399361006317731</v>
      </c>
      <c r="AJ72" s="117">
        <f t="shared" si="26"/>
        <v>9.4131667500663818E-2</v>
      </c>
      <c r="AK72" s="117">
        <f t="shared" si="26"/>
        <v>0.11889611637717379</v>
      </c>
      <c r="AL72" s="117">
        <f t="shared" si="26"/>
        <v>0.11829329770227259</v>
      </c>
      <c r="AM72" s="117">
        <f t="shared" si="26"/>
        <v>0.12023401777033338</v>
      </c>
      <c r="AN72" s="117">
        <f t="shared" si="26"/>
        <v>0.10979759231120356</v>
      </c>
      <c r="AO72" s="117">
        <f t="shared" ref="AO72:AS72" si="27">AO5/AK5-1</f>
        <v>6.8607545839210138E-2</v>
      </c>
      <c r="AP72" s="117">
        <f t="shared" si="27"/>
        <v>8.3754433901938929E-2</v>
      </c>
      <c r="AQ72" s="117">
        <f t="shared" si="27"/>
        <v>5.4360350681780467E-2</v>
      </c>
      <c r="AR72" s="117">
        <f t="shared" si="27"/>
        <v>5.7683657315709569E-2</v>
      </c>
      <c r="AS72" s="117">
        <f t="shared" si="27"/>
        <v>8.6602373290591395E-2</v>
      </c>
      <c r="AT72" s="117">
        <f t="shared" ref="AT72:BC72" si="28">AT5/AP5-1</f>
        <v>8.9073297129043993E-2</v>
      </c>
      <c r="AU72" s="117">
        <f t="shared" si="28"/>
        <v>9.7500346381737213E-2</v>
      </c>
      <c r="AV72" s="117">
        <f t="shared" si="28"/>
        <v>0.10130037690240279</v>
      </c>
      <c r="AW72" s="117">
        <f t="shared" si="28"/>
        <v>9.0475371414333372E-2</v>
      </c>
      <c r="AX72" s="117">
        <f t="shared" si="28"/>
        <v>8.7775696344220444E-2</v>
      </c>
      <c r="AY72" s="117">
        <f t="shared" si="28"/>
        <v>9.6582221892173026E-2</v>
      </c>
      <c r="AZ72" s="117">
        <f t="shared" si="28"/>
        <v>9.1471090420540468E-2</v>
      </c>
      <c r="BA72" s="117">
        <f t="shared" si="28"/>
        <v>9.0476435324965632E-2</v>
      </c>
      <c r="BB72" s="117">
        <f t="shared" si="28"/>
        <v>8.6045527045953252E-2</v>
      </c>
      <c r="BC72" s="117">
        <f t="shared" si="28"/>
        <v>6.0790881517951201E-2</v>
      </c>
      <c r="BD72" s="2"/>
      <c r="BE72" s="2"/>
    </row>
    <row r="73" spans="1:57">
      <c r="A73" s="2" t="s">
        <v>186</v>
      </c>
      <c r="B73" s="85"/>
      <c r="C73" s="114"/>
      <c r="D73" s="114"/>
      <c r="E73" s="238"/>
      <c r="F73" s="238">
        <f t="shared" ref="F73:W73" si="29">F10/B10-1</f>
        <v>-0.10475637343926392</v>
      </c>
      <c r="G73" s="238">
        <f t="shared" si="29"/>
        <v>-0.12595909697625085</v>
      </c>
      <c r="H73" s="238">
        <f t="shared" si="29"/>
        <v>-0.12299366715090831</v>
      </c>
      <c r="I73" s="238">
        <f t="shared" si="29"/>
        <v>-0.13281245011852816</v>
      </c>
      <c r="J73" s="238">
        <f t="shared" si="29"/>
        <v>-0.16189278063910895</v>
      </c>
      <c r="K73" s="238">
        <f t="shared" si="29"/>
        <v>-0.10126621025541127</v>
      </c>
      <c r="L73" s="238">
        <f t="shared" si="29"/>
        <v>-6.6870548472054092E-2</v>
      </c>
      <c r="M73" s="238">
        <f t="shared" si="29"/>
        <v>-6.7301803900016388E-2</v>
      </c>
      <c r="N73" s="238">
        <f t="shared" si="29"/>
        <v>2.2865881235284435E-2</v>
      </c>
      <c r="O73" s="238">
        <f t="shared" si="29"/>
        <v>-0.18822856227634321</v>
      </c>
      <c r="P73" s="238">
        <f t="shared" si="29"/>
        <v>-0.21032939446275023</v>
      </c>
      <c r="Q73" s="238">
        <f t="shared" si="29"/>
        <v>-0.21274796555752651</v>
      </c>
      <c r="R73" s="238">
        <f t="shared" si="29"/>
        <v>-0.24035835154752794</v>
      </c>
      <c r="S73" s="238">
        <f t="shared" si="29"/>
        <v>-8.5839164504919796E-2</v>
      </c>
      <c r="T73" s="238">
        <f t="shared" si="29"/>
        <v>-0.16281242079524294</v>
      </c>
      <c r="U73" s="238">
        <f t="shared" si="29"/>
        <v>-0.11390786304353273</v>
      </c>
      <c r="V73" s="172">
        <f t="shared" si="29"/>
        <v>-0.23769805138112643</v>
      </c>
      <c r="W73" s="172">
        <f t="shared" si="29"/>
        <v>-0.2225321306364042</v>
      </c>
      <c r="X73" s="115"/>
      <c r="Y73" s="115"/>
      <c r="Z73" s="115"/>
      <c r="AA73" s="115"/>
      <c r="AB73" s="115">
        <f t="shared" ref="AB73:AG73" si="30">AB10/X10-1</f>
        <v>-2.1482442090526854E-2</v>
      </c>
      <c r="AC73" s="115">
        <f t="shared" si="30"/>
        <v>-1.7997387485088168E-2</v>
      </c>
      <c r="AD73" s="115">
        <f t="shared" si="30"/>
        <v>-4.8532042275980403E-2</v>
      </c>
      <c r="AE73" s="116">
        <f t="shared" si="30"/>
        <v>-8.1264605957544034E-2</v>
      </c>
      <c r="AF73" s="116">
        <f t="shared" si="30"/>
        <v>-6.8243842305755087E-2</v>
      </c>
      <c r="AG73" s="116">
        <f t="shared" si="30"/>
        <v>-0.11148895858952923</v>
      </c>
      <c r="AH73" s="116">
        <f t="shared" ref="AH73:AN73" si="31">AH10/AD10-1</f>
        <v>-7.8164731514084429E-2</v>
      </c>
      <c r="AI73" s="116">
        <f t="shared" si="31"/>
        <v>-5.5853106430365562E-2</v>
      </c>
      <c r="AJ73" s="116">
        <f t="shared" si="31"/>
        <v>-5.4533528800599806E-2</v>
      </c>
      <c r="AK73" s="116">
        <f t="shared" si="31"/>
        <v>4.3985166093119199E-2</v>
      </c>
      <c r="AL73" s="116">
        <f t="shared" si="31"/>
        <v>-4.0267999277491695E-2</v>
      </c>
      <c r="AM73" s="116">
        <f t="shared" si="31"/>
        <v>6.2331567143416589E-3</v>
      </c>
      <c r="AN73" s="116">
        <f t="shared" si="31"/>
        <v>3.0481913921679649E-2</v>
      </c>
      <c r="AO73" s="116">
        <f t="shared" ref="AO73:AS73" si="32">AO10/AK10-1</f>
        <v>6.039324461312634E-2</v>
      </c>
      <c r="AP73" s="116">
        <f t="shared" si="32"/>
        <v>0.1971303967040221</v>
      </c>
      <c r="AQ73" s="116">
        <f t="shared" si="32"/>
        <v>0.10028461073377537</v>
      </c>
      <c r="AR73" s="116">
        <f t="shared" si="32"/>
        <v>0.12903181248890938</v>
      </c>
      <c r="AS73" s="116">
        <f t="shared" si="32"/>
        <v>7.0594317668393192E-2</v>
      </c>
      <c r="AT73" s="116">
        <f t="shared" ref="AT73:BC73" si="33">AT10/AP10-1</f>
        <v>-0.27886014236617107</v>
      </c>
      <c r="AU73" s="116">
        <f t="shared" si="33"/>
        <v>-0.24377750941471987</v>
      </c>
      <c r="AV73" s="116">
        <f t="shared" si="33"/>
        <v>-0.28069817725147572</v>
      </c>
      <c r="AW73" s="116">
        <f t="shared" si="33"/>
        <v>-0.26264692107153031</v>
      </c>
      <c r="AX73" s="116">
        <f t="shared" si="33"/>
        <v>9.833066226686249E-2</v>
      </c>
      <c r="AY73" s="116">
        <f t="shared" si="33"/>
        <v>7.2490819373452586E-2</v>
      </c>
      <c r="AZ73" s="116">
        <f t="shared" si="33"/>
        <v>8.8148518905647233E-2</v>
      </c>
      <c r="BA73" s="116">
        <f t="shared" si="33"/>
        <v>0.11132456963541459</v>
      </c>
      <c r="BB73" s="116">
        <f t="shared" si="33"/>
        <v>-0.11649497862376368</v>
      </c>
      <c r="BC73" s="116">
        <f t="shared" si="33"/>
        <v>-8.3567055624054976E-2</v>
      </c>
      <c r="BD73" s="2"/>
      <c r="BE73" s="2"/>
    </row>
    <row r="74" spans="1:57">
      <c r="A74" s="2" t="s">
        <v>187</v>
      </c>
      <c r="B74" s="85"/>
      <c r="C74" s="114"/>
      <c r="D74" s="114"/>
      <c r="E74" s="238"/>
      <c r="F74" s="238">
        <f t="shared" ref="F74:AC74" si="34">F70/B70-1</f>
        <v>0.11767146886027979</v>
      </c>
      <c r="G74" s="238">
        <f t="shared" si="34"/>
        <v>6.2390802006939694E-2</v>
      </c>
      <c r="H74" s="238">
        <f t="shared" si="34"/>
        <v>-4.5419073788956155E-2</v>
      </c>
      <c r="I74" s="238">
        <f t="shared" si="34"/>
        <v>-6.024027995852399E-2</v>
      </c>
      <c r="J74" s="238">
        <f t="shared" si="34"/>
        <v>-0.12212436323246534</v>
      </c>
      <c r="K74" s="238">
        <f t="shared" si="34"/>
        <v>3.0610365907904002E-2</v>
      </c>
      <c r="L74" s="238">
        <f t="shared" si="34"/>
        <v>3.6744761246544355E-2</v>
      </c>
      <c r="M74" s="238">
        <f t="shared" si="34"/>
        <v>4.3731066445432454E-2</v>
      </c>
      <c r="N74" s="238">
        <f t="shared" si="34"/>
        <v>8.4979646854766777E-2</v>
      </c>
      <c r="O74" s="238">
        <f t="shared" si="34"/>
        <v>-8.7500834115729287E-2</v>
      </c>
      <c r="P74" s="238">
        <f t="shared" si="34"/>
        <v>-0.12861273863226441</v>
      </c>
      <c r="Q74" s="238">
        <f t="shared" si="34"/>
        <v>-0.1964250828052172</v>
      </c>
      <c r="R74" s="238">
        <f t="shared" si="34"/>
        <v>-0.20791732232072335</v>
      </c>
      <c r="S74" s="238">
        <f t="shared" si="34"/>
        <v>-0.19732004924044555</v>
      </c>
      <c r="T74" s="238">
        <f t="shared" si="34"/>
        <v>-0.14983095484795506</v>
      </c>
      <c r="U74" s="238">
        <f t="shared" si="34"/>
        <v>3.6851314279925163E-2</v>
      </c>
      <c r="V74" s="238">
        <f t="shared" si="34"/>
        <v>4.2531019058230646E-2</v>
      </c>
      <c r="W74" s="238">
        <f t="shared" si="34"/>
        <v>-0.12541419341224103</v>
      </c>
      <c r="X74" s="114"/>
      <c r="Y74" s="114"/>
      <c r="Z74" s="114"/>
      <c r="AA74" s="114"/>
      <c r="AB74" s="114">
        <f t="shared" si="34"/>
        <v>-8.8166266615915756E-2</v>
      </c>
      <c r="AC74" s="114">
        <f t="shared" si="34"/>
        <v>-0.16923047852686712</v>
      </c>
      <c r="AD74" s="114">
        <f t="shared" ref="AD74:AN74" si="35">AD70/Z70-1</f>
        <v>-0.12248981592604768</v>
      </c>
      <c r="AE74" s="117">
        <f t="shared" si="35"/>
        <v>-0.13285906507481637</v>
      </c>
      <c r="AF74" s="117">
        <f t="shared" si="35"/>
        <v>-7.142052370348595E-2</v>
      </c>
      <c r="AG74" s="117">
        <f t="shared" si="35"/>
        <v>2.6460101718338125E-2</v>
      </c>
      <c r="AH74" s="117">
        <f t="shared" si="35"/>
        <v>7.0996065323076785E-3</v>
      </c>
      <c r="AI74" s="117">
        <f t="shared" si="35"/>
        <v>2.3183700273814445E-3</v>
      </c>
      <c r="AJ74" s="117">
        <f t="shared" si="35"/>
        <v>1.590748717539725E-2</v>
      </c>
      <c r="AK74" s="117">
        <f t="shared" si="35"/>
        <v>6.3946550526034596E-2</v>
      </c>
      <c r="AL74" s="117">
        <f t="shared" si="35"/>
        <v>4.0409819173569783E-2</v>
      </c>
      <c r="AM74" s="117">
        <f t="shared" si="35"/>
        <v>8.2262509557917696E-2</v>
      </c>
      <c r="AN74" s="117">
        <f t="shared" si="35"/>
        <v>9.3616245591596758E-2</v>
      </c>
      <c r="AO74" s="117">
        <f t="shared" ref="AO74:AS74" si="36">AO70/AK70-1</f>
        <v>7.5890970883371489E-2</v>
      </c>
      <c r="AP74" s="117">
        <f t="shared" si="36"/>
        <v>0.17778992703294061</v>
      </c>
      <c r="AQ74" s="117">
        <f t="shared" si="36"/>
        <v>0.12181476225577859</v>
      </c>
      <c r="AR74" s="117">
        <f t="shared" si="36"/>
        <v>0.12793611901875623</v>
      </c>
      <c r="AS74" s="117">
        <f t="shared" si="36"/>
        <v>0.12727934644381267</v>
      </c>
      <c r="AT74" s="117">
        <f t="shared" ref="AT74:BC74" si="37">AT70/AP70-1</f>
        <v>9.0647393780450392E-2</v>
      </c>
      <c r="AU74" s="117">
        <f t="shared" si="37"/>
        <v>0.11197849565339557</v>
      </c>
      <c r="AV74" s="117">
        <f t="shared" si="37"/>
        <v>0.10759581094902204</v>
      </c>
      <c r="AW74" s="117">
        <f t="shared" si="37"/>
        <v>9.5745978889701711E-2</v>
      </c>
      <c r="AX74" s="117">
        <f t="shared" si="37"/>
        <v>7.0999752047052E-2</v>
      </c>
      <c r="AY74" s="117">
        <f t="shared" si="37"/>
        <v>-9.9204575706785536E-2</v>
      </c>
      <c r="AZ74" s="117">
        <f t="shared" si="37"/>
        <v>-0.15108092369037662</v>
      </c>
      <c r="BA74" s="117">
        <f t="shared" si="37"/>
        <v>-0.22781622138232061</v>
      </c>
      <c r="BB74" s="117">
        <f t="shared" si="37"/>
        <v>-0.21748994974021052</v>
      </c>
      <c r="BC74" s="117">
        <f t="shared" si="37"/>
        <v>-7.8528926215424288E-2</v>
      </c>
      <c r="BD74" s="2"/>
      <c r="BE74" s="2"/>
    </row>
    <row r="75" spans="1:57">
      <c r="A75" s="2"/>
      <c r="B75" s="85"/>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c r="BB75" s="117"/>
      <c r="BC75" s="117"/>
      <c r="BD75" s="2"/>
      <c r="BE75" s="2"/>
    </row>
    <row r="76" spans="1:57" s="27" customFormat="1">
      <c r="A76" s="510" t="s">
        <v>22</v>
      </c>
      <c r="B76" s="522" t="str">
        <f>B$51</f>
        <v>Q1 12</v>
      </c>
      <c r="C76" s="522" t="str">
        <f t="shared" ref="C76:BC76" si="38">C$51</f>
        <v>Q2 12</v>
      </c>
      <c r="D76" s="522" t="str">
        <f t="shared" si="38"/>
        <v>Q3 12</v>
      </c>
      <c r="E76" s="522" t="str">
        <f t="shared" si="38"/>
        <v>4Q12</v>
      </c>
      <c r="F76" s="522" t="str">
        <f t="shared" si="38"/>
        <v>1Q13</v>
      </c>
      <c r="G76" s="522" t="str">
        <f t="shared" si="38"/>
        <v>2Q13</v>
      </c>
      <c r="H76" s="522" t="str">
        <f t="shared" si="38"/>
        <v>3Q13</v>
      </c>
      <c r="I76" s="522" t="str">
        <f t="shared" si="38"/>
        <v>4Q13</v>
      </c>
      <c r="J76" s="522" t="str">
        <f t="shared" si="38"/>
        <v>1Q14</v>
      </c>
      <c r="K76" s="522" t="str">
        <f t="shared" si="38"/>
        <v>2Q14</v>
      </c>
      <c r="L76" s="522" t="str">
        <f t="shared" si="38"/>
        <v>3Q14</v>
      </c>
      <c r="M76" s="522" t="str">
        <f t="shared" si="38"/>
        <v>4Q14</v>
      </c>
      <c r="N76" s="522" t="str">
        <f t="shared" si="38"/>
        <v>1Q15</v>
      </c>
      <c r="O76" s="522" t="str">
        <f t="shared" si="38"/>
        <v>2Q15</v>
      </c>
      <c r="P76" s="522" t="str">
        <f t="shared" si="38"/>
        <v>3Q15</v>
      </c>
      <c r="Q76" s="522" t="str">
        <f t="shared" si="38"/>
        <v>4Q15</v>
      </c>
      <c r="R76" s="522" t="str">
        <f t="shared" si="38"/>
        <v>1Q16</v>
      </c>
      <c r="S76" s="522" t="str">
        <f t="shared" si="38"/>
        <v>2Q16</v>
      </c>
      <c r="T76" s="522" t="str">
        <f t="shared" si="38"/>
        <v>3Q16</v>
      </c>
      <c r="U76" s="522" t="str">
        <f t="shared" si="38"/>
        <v>4Q16</v>
      </c>
      <c r="V76" s="522" t="str">
        <f t="shared" si="38"/>
        <v>1Q17</v>
      </c>
      <c r="W76" s="522" t="str">
        <f t="shared" si="38"/>
        <v>2Q17</v>
      </c>
      <c r="X76" s="522" t="str">
        <f t="shared" si="38"/>
        <v>3Q17</v>
      </c>
      <c r="Y76" s="522" t="str">
        <f t="shared" si="38"/>
        <v>4Q17</v>
      </c>
      <c r="Z76" s="522" t="str">
        <f t="shared" si="38"/>
        <v>1Q18</v>
      </c>
      <c r="AA76" s="522" t="str">
        <f t="shared" si="38"/>
        <v>2Q18</v>
      </c>
      <c r="AB76" s="522" t="str">
        <f t="shared" si="38"/>
        <v>3Q18</v>
      </c>
      <c r="AC76" s="522" t="str">
        <f t="shared" si="38"/>
        <v>4Q18</v>
      </c>
      <c r="AD76" s="522" t="str">
        <f t="shared" si="38"/>
        <v>1Q19</v>
      </c>
      <c r="AE76" s="522" t="str">
        <f t="shared" si="38"/>
        <v>2Q19</v>
      </c>
      <c r="AF76" s="522" t="str">
        <f t="shared" si="38"/>
        <v>3Q19</v>
      </c>
      <c r="AG76" s="522" t="str">
        <f t="shared" si="38"/>
        <v>4Q19</v>
      </c>
      <c r="AH76" s="522" t="str">
        <f t="shared" si="38"/>
        <v>1Q20</v>
      </c>
      <c r="AI76" s="522" t="str">
        <f t="shared" si="38"/>
        <v>2Q20</v>
      </c>
      <c r="AJ76" s="522" t="str">
        <f t="shared" si="38"/>
        <v>3Q20</v>
      </c>
      <c r="AK76" s="522" t="str">
        <f t="shared" si="38"/>
        <v>4Q20</v>
      </c>
      <c r="AL76" s="522" t="str">
        <f t="shared" si="38"/>
        <v>1Q21</v>
      </c>
      <c r="AM76" s="522" t="str">
        <f t="shared" si="38"/>
        <v>2Q21</v>
      </c>
      <c r="AN76" s="522" t="str">
        <f t="shared" si="38"/>
        <v>3Q21</v>
      </c>
      <c r="AO76" s="522" t="str">
        <f t="shared" si="38"/>
        <v>4Q21</v>
      </c>
      <c r="AP76" s="522" t="str">
        <f t="shared" si="38"/>
        <v>1Q22</v>
      </c>
      <c r="AQ76" s="522" t="str">
        <f t="shared" si="38"/>
        <v>2Q22</v>
      </c>
      <c r="AR76" s="522" t="str">
        <f t="shared" si="38"/>
        <v>3Q22</v>
      </c>
      <c r="AS76" s="522" t="str">
        <f t="shared" si="38"/>
        <v>4Q22</v>
      </c>
      <c r="AT76" s="522" t="str">
        <f t="shared" si="38"/>
        <v>1Q23</v>
      </c>
      <c r="AU76" s="522" t="str">
        <f t="shared" si="38"/>
        <v>2Q23</v>
      </c>
      <c r="AV76" s="522" t="str">
        <f t="shared" si="38"/>
        <v>3Q23</v>
      </c>
      <c r="AW76" s="522" t="str">
        <f t="shared" si="38"/>
        <v>4Q23</v>
      </c>
      <c r="AX76" s="522" t="str">
        <f t="shared" si="38"/>
        <v>1Q24</v>
      </c>
      <c r="AY76" s="522" t="str">
        <f t="shared" si="38"/>
        <v>2Q24</v>
      </c>
      <c r="AZ76" s="522" t="str">
        <f t="shared" si="38"/>
        <v>3Q24</v>
      </c>
      <c r="BA76" s="522" t="str">
        <f t="shared" si="38"/>
        <v>4Q24</v>
      </c>
      <c r="BB76" s="522" t="str">
        <f t="shared" si="38"/>
        <v>1Q25</v>
      </c>
      <c r="BC76" s="522" t="str">
        <f t="shared" si="38"/>
        <v>2Q25</v>
      </c>
      <c r="BD76" s="510"/>
      <c r="BE76" s="513"/>
    </row>
    <row r="77" spans="1:57" s="27" customFormat="1">
      <c r="A77" s="176"/>
      <c r="B77" s="233"/>
      <c r="C77" s="233"/>
      <c r="D77" s="233"/>
      <c r="E77" s="233"/>
      <c r="F77" s="233"/>
      <c r="G77" s="233"/>
      <c r="H77" s="233"/>
      <c r="I77" s="233"/>
      <c r="J77" s="233"/>
      <c r="K77" s="233"/>
      <c r="L77" s="233"/>
      <c r="M77" s="233"/>
      <c r="N77" s="233"/>
      <c r="O77" s="233"/>
      <c r="P77" s="233"/>
      <c r="Q77" s="233"/>
      <c r="R77" s="233"/>
      <c r="S77" s="233"/>
      <c r="T77" s="233"/>
      <c r="U77" s="233"/>
      <c r="V77" s="233"/>
      <c r="W77" s="233"/>
      <c r="X77" s="233"/>
      <c r="Y77" s="233"/>
      <c r="Z77" s="233"/>
      <c r="AA77" s="233"/>
      <c r="AB77" s="233"/>
      <c r="AC77" s="233"/>
      <c r="AD77" s="233"/>
      <c r="AE77" s="234"/>
      <c r="AF77" s="234"/>
      <c r="AG77" s="234"/>
      <c r="AH77" s="234"/>
      <c r="AI77" s="234"/>
      <c r="AJ77" s="234"/>
      <c r="AK77" s="234"/>
      <c r="AL77" s="234"/>
      <c r="AM77" s="234"/>
      <c r="AN77" s="234"/>
      <c r="AO77" s="234"/>
      <c r="AP77" s="234"/>
      <c r="AQ77" s="234"/>
      <c r="AR77" s="234"/>
      <c r="AS77" s="234"/>
      <c r="AT77" s="234"/>
      <c r="AU77" s="234"/>
      <c r="AV77" s="234"/>
      <c r="AW77" s="234"/>
      <c r="AX77" s="234"/>
      <c r="AY77" s="234"/>
      <c r="AZ77" s="234"/>
      <c r="BA77" s="234"/>
      <c r="BB77" s="234"/>
      <c r="BC77" s="234"/>
      <c r="BD77" s="176"/>
      <c r="BE77" s="222"/>
    </row>
    <row r="78" spans="1:57">
      <c r="A78" s="2" t="s">
        <v>431</v>
      </c>
      <c r="B78" s="85"/>
      <c r="C78" s="114"/>
      <c r="D78" s="114"/>
      <c r="E78" s="238"/>
      <c r="F78" s="238">
        <f t="shared" ref="F78:AC78" si="39">F15/B15-1</f>
        <v>0.19621472261019335</v>
      </c>
      <c r="G78" s="238">
        <f t="shared" si="39"/>
        <v>0.29992748657548995</v>
      </c>
      <c r="H78" s="238">
        <f t="shared" si="39"/>
        <v>0.40458855629565549</v>
      </c>
      <c r="I78" s="238">
        <f t="shared" si="39"/>
        <v>0.22104977950044913</v>
      </c>
      <c r="J78" s="238">
        <f t="shared" si="39"/>
        <v>0.32158452831515438</v>
      </c>
      <c r="K78" s="238">
        <f t="shared" si="39"/>
        <v>0.17769973499778779</v>
      </c>
      <c r="L78" s="238">
        <f t="shared" si="39"/>
        <v>8.0053139585407829E-2</v>
      </c>
      <c r="M78" s="238">
        <f t="shared" si="39"/>
        <v>0.20523820017080285</v>
      </c>
      <c r="N78" s="238">
        <f t="shared" si="39"/>
        <v>8.7993402356039585E-2</v>
      </c>
      <c r="O78" s="238">
        <f t="shared" si="39"/>
        <v>4.0126783073635819E-2</v>
      </c>
      <c r="P78" s="238">
        <f t="shared" si="39"/>
        <v>7.3974550344267698E-2</v>
      </c>
      <c r="Q78" s="238">
        <f t="shared" si="39"/>
        <v>0.10265257560279051</v>
      </c>
      <c r="R78" s="238">
        <f t="shared" si="39"/>
        <v>0.16048804778653958</v>
      </c>
      <c r="S78" s="238">
        <f t="shared" si="39"/>
        <v>0.19520982619247218</v>
      </c>
      <c r="T78" s="238">
        <f t="shared" si="39"/>
        <v>7.4065681678177731E-2</v>
      </c>
      <c r="U78" s="238">
        <f t="shared" si="39"/>
        <v>8.7818712951301725E-2</v>
      </c>
      <c r="V78" s="238">
        <f t="shared" si="39"/>
        <v>4.2718534063733715E-2</v>
      </c>
      <c r="W78" s="238">
        <f t="shared" si="39"/>
        <v>5.6325342959451019E-2</v>
      </c>
      <c r="X78" s="114"/>
      <c r="Y78" s="114"/>
      <c r="Z78" s="114"/>
      <c r="AA78" s="114"/>
      <c r="AB78" s="114">
        <f t="shared" si="39"/>
        <v>0.21869152444018458</v>
      </c>
      <c r="AC78" s="114">
        <f t="shared" si="39"/>
        <v>0.36921878680526965</v>
      </c>
      <c r="AD78" s="114">
        <f t="shared" ref="AD78:AN78" si="40">AD15/Z15-1</f>
        <v>0.43845297468797773</v>
      </c>
      <c r="AE78" s="117">
        <f t="shared" si="40"/>
        <v>0.36323388478543284</v>
      </c>
      <c r="AF78" s="117">
        <f t="shared" si="40"/>
        <v>0.25084469596578685</v>
      </c>
      <c r="AG78" s="117">
        <f t="shared" si="40"/>
        <v>0.18300210658650395</v>
      </c>
      <c r="AH78" s="117">
        <f t="shared" si="40"/>
        <v>0.1140242347987046</v>
      </c>
      <c r="AI78" s="117">
        <f t="shared" si="40"/>
        <v>0.16116942288794123</v>
      </c>
      <c r="AJ78" s="117">
        <f t="shared" si="40"/>
        <v>0.2410380442368194</v>
      </c>
      <c r="AK78" s="117">
        <f t="shared" si="40"/>
        <v>0.30272021495857437</v>
      </c>
      <c r="AL78" s="117">
        <f t="shared" si="40"/>
        <v>0.29932874757544159</v>
      </c>
      <c r="AM78" s="117">
        <f t="shared" si="40"/>
        <v>0.32207096322065953</v>
      </c>
      <c r="AN78" s="117">
        <f t="shared" si="40"/>
        <v>0.31595895034541033</v>
      </c>
      <c r="AO78" s="117">
        <f t="shared" ref="AO78:AS78" si="41">AO15/AK15-1</f>
        <v>0.2336878885936986</v>
      </c>
      <c r="AP78" s="117">
        <f t="shared" si="41"/>
        <v>0.23834907140173756</v>
      </c>
      <c r="AQ78" s="117">
        <f t="shared" si="41"/>
        <v>0.16729215003698061</v>
      </c>
      <c r="AR78" s="117">
        <f t="shared" si="41"/>
        <v>0.13731496645924546</v>
      </c>
      <c r="AS78" s="117">
        <f t="shared" si="41"/>
        <v>0.15823717580272656</v>
      </c>
      <c r="AT78" s="117">
        <f t="shared" ref="AT78:BC78" si="42">AT15/AP15-1</f>
        <v>0.15936329074652344</v>
      </c>
      <c r="AU78" s="117">
        <f t="shared" si="42"/>
        <v>0.16180213466522986</v>
      </c>
      <c r="AV78" s="117">
        <f t="shared" si="42"/>
        <v>0.16876337641228889</v>
      </c>
      <c r="AW78" s="117">
        <f t="shared" si="42"/>
        <v>0.14884942419315506</v>
      </c>
      <c r="AX78" s="117">
        <f t="shared" si="42"/>
        <v>0.15937513918900681</v>
      </c>
      <c r="AY78" s="117">
        <f t="shared" si="42"/>
        <v>0.1535847607708849</v>
      </c>
      <c r="AZ78" s="117">
        <f t="shared" si="42"/>
        <v>0.13154671712948351</v>
      </c>
      <c r="BA78" s="117">
        <f t="shared" si="42"/>
        <v>0.15172727715711054</v>
      </c>
      <c r="BB78" s="117">
        <f t="shared" si="42"/>
        <v>0.1215598327533074</v>
      </c>
      <c r="BC78" s="117">
        <f t="shared" si="42"/>
        <v>0.11144141739071789</v>
      </c>
      <c r="BD78" s="2"/>
      <c r="BE78" s="2"/>
    </row>
    <row r="79" spans="1:57">
      <c r="A79" s="2" t="s">
        <v>437</v>
      </c>
      <c r="B79" s="85"/>
      <c r="C79" s="114"/>
      <c r="D79" s="114"/>
      <c r="E79" s="238"/>
      <c r="F79" s="238"/>
      <c r="G79" s="238"/>
      <c r="H79" s="238"/>
      <c r="I79" s="238"/>
      <c r="J79" s="238">
        <f t="shared" ref="J79:W79" si="43">J83/F83-1</f>
        <v>-0.16749272522940584</v>
      </c>
      <c r="K79" s="238">
        <f t="shared" si="43"/>
        <v>-2.6492874782022446E-2</v>
      </c>
      <c r="L79" s="238">
        <f t="shared" si="43"/>
        <v>-1.827290244205515E-2</v>
      </c>
      <c r="M79" s="238">
        <f t="shared" si="43"/>
        <v>8.6654804878367742E-3</v>
      </c>
      <c r="N79" s="238">
        <f t="shared" si="43"/>
        <v>3.1212984769561469E-2</v>
      </c>
      <c r="O79" s="238">
        <f t="shared" si="43"/>
        <v>-0.15353293175193072</v>
      </c>
      <c r="P79" s="238">
        <f t="shared" si="43"/>
        <v>-0.17014325611541059</v>
      </c>
      <c r="Q79" s="238">
        <f t="shared" si="43"/>
        <v>-0.24347604539652123</v>
      </c>
      <c r="R79" s="238">
        <f t="shared" si="43"/>
        <v>-0.26529688161687082</v>
      </c>
      <c r="S79" s="238">
        <f t="shared" si="43"/>
        <v>-0.23459890071099332</v>
      </c>
      <c r="T79" s="238">
        <f t="shared" si="43"/>
        <v>-0.19768530994485567</v>
      </c>
      <c r="U79" s="238">
        <f t="shared" si="43"/>
        <v>-2.7737902941911474E-2</v>
      </c>
      <c r="V79" s="238">
        <f t="shared" si="43"/>
        <v>-1.8795726845601046E-2</v>
      </c>
      <c r="W79" s="238">
        <f t="shared" si="43"/>
        <v>-0.15624530582777452</v>
      </c>
      <c r="X79" s="114"/>
      <c r="Y79" s="114"/>
      <c r="Z79" s="114"/>
      <c r="AA79" s="114"/>
      <c r="AB79" s="114"/>
      <c r="AC79" s="114"/>
      <c r="AD79" s="114"/>
      <c r="AE79" s="117"/>
      <c r="AF79" s="117"/>
      <c r="AG79" s="117"/>
      <c r="AH79" s="117"/>
      <c r="AI79" s="117"/>
      <c r="AJ79" s="117"/>
      <c r="AK79" s="117"/>
      <c r="AL79" s="117"/>
      <c r="AM79" s="117"/>
      <c r="AN79" s="117"/>
      <c r="AO79" s="117"/>
      <c r="AP79" s="117"/>
      <c r="AQ79" s="117"/>
      <c r="AR79" s="117"/>
      <c r="AS79" s="117"/>
      <c r="AT79" s="117"/>
      <c r="AU79" s="117"/>
      <c r="AV79" s="117"/>
      <c r="AW79" s="117"/>
      <c r="AX79" s="117"/>
      <c r="AY79" s="117"/>
      <c r="AZ79" s="117"/>
      <c r="BA79" s="117"/>
      <c r="BB79" s="117"/>
      <c r="BC79" s="117"/>
      <c r="BD79" s="2"/>
      <c r="BE79" s="2"/>
    </row>
    <row r="80" spans="1:57">
      <c r="A80" s="2" t="s">
        <v>122</v>
      </c>
      <c r="B80" s="85"/>
      <c r="C80" s="114"/>
      <c r="D80" s="114"/>
      <c r="E80" s="238"/>
      <c r="F80" s="238"/>
      <c r="G80" s="238"/>
      <c r="H80" s="238"/>
      <c r="I80" s="238"/>
      <c r="J80" s="238">
        <f t="shared" ref="J80:AC81" si="44">J17/F17-1</f>
        <v>0.11225681483469185</v>
      </c>
      <c r="K80" s="238">
        <f t="shared" si="44"/>
        <v>3.7553357588868908E-2</v>
      </c>
      <c r="L80" s="238">
        <f t="shared" si="44"/>
        <v>-1.9572396441531636E-2</v>
      </c>
      <c r="M80" s="238">
        <f t="shared" si="44"/>
        <v>0.10035568859694322</v>
      </c>
      <c r="N80" s="238">
        <f t="shared" si="44"/>
        <v>1.5792591087998353E-2</v>
      </c>
      <c r="O80" s="238">
        <f t="shared" si="44"/>
        <v>-3.4299472044696189E-2</v>
      </c>
      <c r="P80" s="238">
        <f t="shared" si="44"/>
        <v>-6.9329179594304069E-3</v>
      </c>
      <c r="Q80" s="238">
        <f t="shared" si="44"/>
        <v>1.159833740744598E-2</v>
      </c>
      <c r="R80" s="238">
        <f t="shared" si="44"/>
        <v>3.6781523535073468E-2</v>
      </c>
      <c r="S80" s="238">
        <f t="shared" si="44"/>
        <v>5.0919753060841844E-2</v>
      </c>
      <c r="T80" s="238">
        <f t="shared" si="44"/>
        <v>2.7019488091906574E-2</v>
      </c>
      <c r="U80" s="238">
        <f t="shared" si="44"/>
        <v>8.5190752938529624E-2</v>
      </c>
      <c r="V80" s="238">
        <f t="shared" si="44"/>
        <v>7.4882566988126786E-2</v>
      </c>
      <c r="W80" s="238">
        <f t="shared" si="44"/>
        <v>9.6633690635723246E-2</v>
      </c>
      <c r="X80" s="114"/>
      <c r="Y80" s="114"/>
      <c r="Z80" s="114"/>
      <c r="AA80" s="114"/>
      <c r="AB80" s="114">
        <f t="shared" si="44"/>
        <v>0.13286128190388746</v>
      </c>
      <c r="AC80" s="114">
        <f t="shared" si="44"/>
        <v>0.21462919713752293</v>
      </c>
      <c r="AD80" s="114">
        <f t="shared" ref="AD80:AN80" si="45">AD17/Z17-1</f>
        <v>0.22035894732892913</v>
      </c>
      <c r="AE80" s="117">
        <f t="shared" si="45"/>
        <v>0.14617674040248851</v>
      </c>
      <c r="AF80" s="117">
        <f t="shared" si="45"/>
        <v>6.1561944741395314E-2</v>
      </c>
      <c r="AG80" s="117">
        <f t="shared" si="45"/>
        <v>4.2969523954281774E-2</v>
      </c>
      <c r="AH80" s="117">
        <f t="shared" si="45"/>
        <v>1.635624726539886E-2</v>
      </c>
      <c r="AI80" s="117">
        <f t="shared" si="45"/>
        <v>5.5545170903502195E-2</v>
      </c>
      <c r="AJ80" s="117">
        <f t="shared" si="45"/>
        <v>0.12562988333041947</v>
      </c>
      <c r="AK80" s="117">
        <f t="shared" si="45"/>
        <v>0.17614551858753758</v>
      </c>
      <c r="AL80" s="117">
        <f t="shared" si="45"/>
        <v>0.16882458092298358</v>
      </c>
      <c r="AM80" s="117">
        <f t="shared" si="45"/>
        <v>0.18186962679561347</v>
      </c>
      <c r="AN80" s="117">
        <f t="shared" si="45"/>
        <v>0.17062981018271972</v>
      </c>
      <c r="AO80" s="117">
        <f t="shared" ref="AO80:AS80" si="46">AO17/AK17-1</f>
        <v>0.13978878054061017</v>
      </c>
      <c r="AP80" s="117">
        <f t="shared" si="46"/>
        <v>0.14430703234937869</v>
      </c>
      <c r="AQ80" s="117">
        <f t="shared" si="46"/>
        <v>9.0513987950183283E-2</v>
      </c>
      <c r="AR80" s="117">
        <f t="shared" si="46"/>
        <v>8.842086611900668E-2</v>
      </c>
      <c r="AS80" s="117">
        <f t="shared" si="46"/>
        <v>7.5180153243767034E-2</v>
      </c>
      <c r="AT80" s="117">
        <f t="shared" ref="AT80:BC80" si="47">AT17/AP17-1</f>
        <v>5.8703080331154123E-2</v>
      </c>
      <c r="AU80" s="117">
        <f t="shared" si="47"/>
        <v>6.7173963610157594E-2</v>
      </c>
      <c r="AV80" s="117">
        <f t="shared" si="47"/>
        <v>6.2279529270505396E-2</v>
      </c>
      <c r="AW80" s="117">
        <f t="shared" si="47"/>
        <v>4.8913495729702827E-2</v>
      </c>
      <c r="AX80" s="117">
        <f t="shared" si="47"/>
        <v>6.9534990677441177E-2</v>
      </c>
      <c r="AY80" s="117">
        <f t="shared" si="47"/>
        <v>5.2848482925637486E-2</v>
      </c>
      <c r="AZ80" s="117">
        <f t="shared" si="47"/>
        <v>3.2312364848100072E-2</v>
      </c>
      <c r="BA80" s="117">
        <f t="shared" si="47"/>
        <v>5.3081059015735566E-2</v>
      </c>
      <c r="BB80" s="117">
        <f t="shared" si="47"/>
        <v>2.9982361741343277E-2</v>
      </c>
      <c r="BC80" s="117">
        <f t="shared" si="47"/>
        <v>3.9743420544222197E-2</v>
      </c>
      <c r="BD80" s="2"/>
      <c r="BE80" s="2"/>
    </row>
    <row r="81" spans="1:57">
      <c r="A81" s="2" t="s">
        <v>438</v>
      </c>
      <c r="B81" s="85"/>
      <c r="C81" s="114"/>
      <c r="D81" s="114"/>
      <c r="E81" s="238"/>
      <c r="F81" s="238"/>
      <c r="G81" s="238"/>
      <c r="H81" s="238"/>
      <c r="I81" s="238"/>
      <c r="J81" s="238">
        <f t="shared" si="44"/>
        <v>-0.28539102700697594</v>
      </c>
      <c r="K81" s="238">
        <f t="shared" si="44"/>
        <v>-0.18150289867822855</v>
      </c>
      <c r="L81" s="238">
        <f t="shared" si="44"/>
        <v>-9.8563858622279343E-2</v>
      </c>
      <c r="M81" s="238">
        <f t="shared" si="44"/>
        <v>-0.18092380091098048</v>
      </c>
      <c r="N81" s="238">
        <f t="shared" si="44"/>
        <v>-4.2969136127217644E-2</v>
      </c>
      <c r="O81" s="238">
        <f t="shared" si="44"/>
        <v>-0.22361101322236232</v>
      </c>
      <c r="P81" s="238">
        <f t="shared" si="44"/>
        <v>-0.2434835178017033</v>
      </c>
      <c r="Q81" s="238">
        <f t="shared" si="44"/>
        <v>-0.26738791323930333</v>
      </c>
      <c r="R81" s="238">
        <f t="shared" si="44"/>
        <v>-0.32038510914154461</v>
      </c>
      <c r="S81" s="238">
        <f t="shared" si="44"/>
        <v>-0.16691515707757421</v>
      </c>
      <c r="T81" s="238">
        <f t="shared" si="44"/>
        <v>-0.23019122714852369</v>
      </c>
      <c r="U81" s="238">
        <f t="shared" si="44"/>
        <v>-0.23428423556848021</v>
      </c>
      <c r="V81" s="238">
        <f t="shared" si="44"/>
        <v>-0.33252276868246644</v>
      </c>
      <c r="W81" s="238">
        <f t="shared" si="44"/>
        <v>-0.31603379634349349</v>
      </c>
      <c r="X81" s="114"/>
      <c r="Y81" s="114"/>
      <c r="Z81" s="114"/>
      <c r="AA81" s="114"/>
      <c r="AB81" s="114"/>
      <c r="AC81" s="114"/>
      <c r="AD81" s="114"/>
      <c r="AE81" s="117"/>
      <c r="AF81" s="117"/>
      <c r="AG81" s="117"/>
      <c r="AH81" s="117"/>
      <c r="AI81" s="117"/>
      <c r="AJ81" s="117"/>
      <c r="AK81" s="117"/>
      <c r="AL81" s="117"/>
      <c r="AM81" s="117"/>
      <c r="AN81" s="117"/>
      <c r="AO81" s="117"/>
      <c r="AP81" s="117"/>
      <c r="AQ81" s="117"/>
      <c r="AR81" s="117"/>
      <c r="AS81" s="117"/>
      <c r="AT81" s="117"/>
      <c r="AU81" s="117"/>
      <c r="AV81" s="117"/>
      <c r="AW81" s="117"/>
      <c r="AX81" s="117"/>
      <c r="AY81" s="117"/>
      <c r="AZ81" s="117"/>
      <c r="BA81" s="117"/>
      <c r="BB81" s="117"/>
      <c r="BC81" s="117"/>
      <c r="BD81" s="15"/>
      <c r="BE81" s="14"/>
    </row>
    <row r="82" spans="1:57">
      <c r="A82" s="2" t="s">
        <v>436</v>
      </c>
      <c r="B82" s="85"/>
      <c r="C82" s="114"/>
      <c r="D82" s="114"/>
      <c r="E82" s="238"/>
      <c r="F82" s="238"/>
      <c r="G82" s="238">
        <f t="shared" ref="G82:W82" si="48">G18/F18-1</f>
        <v>-0.14685936050136705</v>
      </c>
      <c r="H82" s="238">
        <f t="shared" si="48"/>
        <v>-8.8418668980152049E-2</v>
      </c>
      <c r="I82" s="238">
        <f t="shared" si="48"/>
        <v>7.357505535522102E-2</v>
      </c>
      <c r="J82" s="238">
        <f t="shared" si="48"/>
        <v>-0.14410596316991053</v>
      </c>
      <c r="K82" s="238">
        <f t="shared" si="48"/>
        <v>-2.2831832736796454E-2</v>
      </c>
      <c r="L82" s="238">
        <f t="shared" si="48"/>
        <v>3.9526789520727412E-3</v>
      </c>
      <c r="M82" s="238">
        <f t="shared" si="48"/>
        <v>-2.4512402583294901E-2</v>
      </c>
      <c r="N82" s="238">
        <f t="shared" si="48"/>
        <v>4.9824866220626873E-5</v>
      </c>
      <c r="O82" s="238">
        <f t="shared" si="48"/>
        <v>-0.20727467427457125</v>
      </c>
      <c r="P82" s="238">
        <f t="shared" si="48"/>
        <v>-2.1744561155264019E-2</v>
      </c>
      <c r="Q82" s="238">
        <f t="shared" si="48"/>
        <v>-5.5335843740008661E-2</v>
      </c>
      <c r="R82" s="238">
        <f t="shared" si="48"/>
        <v>-7.2293830716613439E-2</v>
      </c>
      <c r="S82" s="238">
        <f t="shared" si="48"/>
        <v>-2.8262237414480307E-2</v>
      </c>
      <c r="T82" s="238">
        <f t="shared" si="48"/>
        <v>-9.6046908895121796E-2</v>
      </c>
      <c r="U82" s="238">
        <f t="shared" si="48"/>
        <v>-6.0358543509045015E-2</v>
      </c>
      <c r="V82" s="238">
        <f t="shared" si="48"/>
        <v>-0.19131514053495913</v>
      </c>
      <c r="W82" s="238">
        <f t="shared" si="48"/>
        <v>-4.2569884917861289E-3</v>
      </c>
      <c r="X82" s="114"/>
      <c r="Y82" s="114"/>
      <c r="Z82" s="114"/>
      <c r="AA82" s="114"/>
      <c r="AB82" s="114"/>
      <c r="AC82" s="114"/>
      <c r="AD82" s="114"/>
      <c r="AE82" s="117"/>
      <c r="AF82" s="117"/>
      <c r="AG82" s="117"/>
      <c r="AH82" s="117"/>
      <c r="AI82" s="117"/>
      <c r="AJ82" s="117"/>
      <c r="AK82" s="117"/>
      <c r="AL82" s="117"/>
      <c r="AM82" s="117"/>
      <c r="AN82" s="117"/>
      <c r="AO82" s="117"/>
      <c r="AP82" s="117"/>
      <c r="AQ82" s="117"/>
      <c r="AR82" s="117"/>
      <c r="AS82" s="117"/>
      <c r="AT82" s="117"/>
      <c r="AU82" s="117"/>
      <c r="AV82" s="117"/>
      <c r="AW82" s="117"/>
      <c r="AX82" s="117"/>
      <c r="AY82" s="117"/>
      <c r="AZ82" s="117"/>
      <c r="BA82" s="117"/>
      <c r="BB82" s="117"/>
      <c r="BC82" s="117"/>
      <c r="BD82" s="15"/>
      <c r="BE82" s="14"/>
    </row>
    <row r="83" spans="1:57">
      <c r="A83" s="2" t="s">
        <v>192</v>
      </c>
      <c r="B83" s="85"/>
      <c r="C83" s="85"/>
      <c r="D83" s="85"/>
      <c r="E83" s="235"/>
      <c r="F83" s="235">
        <f t="shared" ref="F83:W83" si="49">F54*1000/F69/3</f>
        <v>306.62110569821607</v>
      </c>
      <c r="G83" s="235">
        <f t="shared" si="49"/>
        <v>302.62578983614077</v>
      </c>
      <c r="H83" s="235">
        <f t="shared" si="49"/>
        <v>292.97378885357756</v>
      </c>
      <c r="I83" s="235">
        <f t="shared" si="49"/>
        <v>269.40407231876856</v>
      </c>
      <c r="J83" s="235">
        <f t="shared" si="49"/>
        <v>255.26430109196815</v>
      </c>
      <c r="K83" s="235">
        <f t="shared" si="49"/>
        <v>294.60836268020125</v>
      </c>
      <c r="L83" s="235">
        <f t="shared" si="49"/>
        <v>287.62030739177686</v>
      </c>
      <c r="M83" s="235">
        <f t="shared" si="49"/>
        <v>271.73858805079061</v>
      </c>
      <c r="N83" s="235">
        <f t="shared" si="49"/>
        <v>263.23186183416453</v>
      </c>
      <c r="O83" s="235">
        <f t="shared" si="49"/>
        <v>249.37627703927387</v>
      </c>
      <c r="P83" s="235">
        <f t="shared" si="49"/>
        <v>238.68365176722466</v>
      </c>
      <c r="Q83" s="235">
        <f t="shared" si="49"/>
        <v>205.57675125054973</v>
      </c>
      <c r="R83" s="235">
        <f t="shared" si="49"/>
        <v>193.39726974735768</v>
      </c>
      <c r="S83" s="235">
        <f t="shared" si="49"/>
        <v>190.87287658246009</v>
      </c>
      <c r="T83" s="235">
        <f t="shared" si="49"/>
        <v>191.49940008885085</v>
      </c>
      <c r="U83" s="235">
        <f t="shared" si="49"/>
        <v>199.87448327724852</v>
      </c>
      <c r="V83" s="235">
        <f t="shared" si="49"/>
        <v>189.76222749250132</v>
      </c>
      <c r="W83" s="235">
        <f t="shared" si="49"/>
        <v>161.04988560660655</v>
      </c>
      <c r="X83" s="113"/>
      <c r="Y83" s="113"/>
      <c r="Z83" s="113"/>
      <c r="AA83" s="113"/>
      <c r="AB83" s="113"/>
      <c r="AC83" s="113"/>
      <c r="AD83" s="113"/>
      <c r="AE83" s="189"/>
      <c r="AF83" s="189"/>
      <c r="AG83" s="189"/>
      <c r="AH83" s="189"/>
      <c r="AI83" s="189"/>
      <c r="AJ83" s="189"/>
      <c r="AK83" s="189"/>
      <c r="AL83" s="189"/>
      <c r="AM83" s="189"/>
      <c r="AN83" s="189"/>
      <c r="AO83" s="189"/>
      <c r="AP83" s="189"/>
      <c r="AQ83" s="189"/>
      <c r="AR83" s="189"/>
      <c r="AS83" s="189"/>
      <c r="AT83" s="189"/>
      <c r="AU83" s="189"/>
      <c r="AV83" s="189"/>
      <c r="AW83" s="189"/>
      <c r="AX83" s="189"/>
      <c r="AY83" s="189"/>
      <c r="AZ83" s="189"/>
      <c r="BA83" s="189"/>
      <c r="BB83" s="189"/>
      <c r="BC83" s="189"/>
      <c r="BD83" s="2"/>
      <c r="BE83" s="2"/>
    </row>
    <row r="84" spans="1:57">
      <c r="A84" s="2"/>
      <c r="B84" s="85"/>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c r="AA84" s="114"/>
      <c r="AB84" s="114"/>
      <c r="AC84" s="114"/>
      <c r="AD84" s="114"/>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2"/>
      <c r="BE84" s="2"/>
    </row>
    <row r="85" spans="1:57">
      <c r="A85" s="2"/>
      <c r="B85" s="85"/>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c r="AA85" s="114"/>
      <c r="AB85" s="114"/>
      <c r="AC85" s="114"/>
      <c r="AD85" s="114"/>
      <c r="AE85" s="117"/>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117"/>
      <c r="BC85" s="117"/>
      <c r="BD85" s="2"/>
      <c r="BE85" s="2"/>
    </row>
    <row r="86" spans="1:57" s="27" customFormat="1">
      <c r="A86" s="510" t="s">
        <v>127</v>
      </c>
      <c r="B86" s="522" t="str">
        <f>B$51</f>
        <v>Q1 12</v>
      </c>
      <c r="C86" s="522" t="str">
        <f t="shared" ref="C86:BC86" si="50">C$51</f>
        <v>Q2 12</v>
      </c>
      <c r="D86" s="522" t="str">
        <f t="shared" si="50"/>
        <v>Q3 12</v>
      </c>
      <c r="E86" s="522" t="str">
        <f t="shared" si="50"/>
        <v>4Q12</v>
      </c>
      <c r="F86" s="522" t="str">
        <f t="shared" si="50"/>
        <v>1Q13</v>
      </c>
      <c r="G86" s="522" t="str">
        <f t="shared" si="50"/>
        <v>2Q13</v>
      </c>
      <c r="H86" s="522" t="str">
        <f t="shared" si="50"/>
        <v>3Q13</v>
      </c>
      <c r="I86" s="522" t="str">
        <f t="shared" si="50"/>
        <v>4Q13</v>
      </c>
      <c r="J86" s="522" t="str">
        <f t="shared" si="50"/>
        <v>1Q14</v>
      </c>
      <c r="K86" s="522" t="str">
        <f t="shared" si="50"/>
        <v>2Q14</v>
      </c>
      <c r="L86" s="522" t="str">
        <f t="shared" si="50"/>
        <v>3Q14</v>
      </c>
      <c r="M86" s="522" t="str">
        <f t="shared" si="50"/>
        <v>4Q14</v>
      </c>
      <c r="N86" s="522" t="str">
        <f t="shared" si="50"/>
        <v>1Q15</v>
      </c>
      <c r="O86" s="522" t="str">
        <f t="shared" si="50"/>
        <v>2Q15</v>
      </c>
      <c r="P86" s="522" t="str">
        <f t="shared" si="50"/>
        <v>3Q15</v>
      </c>
      <c r="Q86" s="522" t="str">
        <f t="shared" si="50"/>
        <v>4Q15</v>
      </c>
      <c r="R86" s="522" t="str">
        <f t="shared" si="50"/>
        <v>1Q16</v>
      </c>
      <c r="S86" s="522" t="str">
        <f t="shared" si="50"/>
        <v>2Q16</v>
      </c>
      <c r="T86" s="522" t="str">
        <f t="shared" si="50"/>
        <v>3Q16</v>
      </c>
      <c r="U86" s="522" t="str">
        <f t="shared" si="50"/>
        <v>4Q16</v>
      </c>
      <c r="V86" s="522" t="str">
        <f t="shared" si="50"/>
        <v>1Q17</v>
      </c>
      <c r="W86" s="522" t="str">
        <f t="shared" si="50"/>
        <v>2Q17</v>
      </c>
      <c r="X86" s="522" t="str">
        <f t="shared" si="50"/>
        <v>3Q17</v>
      </c>
      <c r="Y86" s="522" t="str">
        <f t="shared" si="50"/>
        <v>4Q17</v>
      </c>
      <c r="Z86" s="522" t="str">
        <f t="shared" si="50"/>
        <v>1Q18</v>
      </c>
      <c r="AA86" s="522" t="str">
        <f t="shared" si="50"/>
        <v>2Q18</v>
      </c>
      <c r="AB86" s="522" t="str">
        <f t="shared" si="50"/>
        <v>3Q18</v>
      </c>
      <c r="AC86" s="522" t="str">
        <f t="shared" si="50"/>
        <v>4Q18</v>
      </c>
      <c r="AD86" s="522" t="str">
        <f t="shared" si="50"/>
        <v>1Q19</v>
      </c>
      <c r="AE86" s="522" t="str">
        <f t="shared" si="50"/>
        <v>2Q19</v>
      </c>
      <c r="AF86" s="522" t="str">
        <f t="shared" si="50"/>
        <v>3Q19</v>
      </c>
      <c r="AG86" s="522" t="str">
        <f t="shared" si="50"/>
        <v>4Q19</v>
      </c>
      <c r="AH86" s="522" t="str">
        <f t="shared" si="50"/>
        <v>1Q20</v>
      </c>
      <c r="AI86" s="522" t="str">
        <f t="shared" si="50"/>
        <v>2Q20</v>
      </c>
      <c r="AJ86" s="522" t="str">
        <f t="shared" si="50"/>
        <v>3Q20</v>
      </c>
      <c r="AK86" s="522" t="str">
        <f t="shared" si="50"/>
        <v>4Q20</v>
      </c>
      <c r="AL86" s="522" t="str">
        <f t="shared" si="50"/>
        <v>1Q21</v>
      </c>
      <c r="AM86" s="522" t="str">
        <f t="shared" si="50"/>
        <v>2Q21</v>
      </c>
      <c r="AN86" s="522" t="str">
        <f t="shared" si="50"/>
        <v>3Q21</v>
      </c>
      <c r="AO86" s="522" t="str">
        <f t="shared" si="50"/>
        <v>4Q21</v>
      </c>
      <c r="AP86" s="522" t="str">
        <f t="shared" si="50"/>
        <v>1Q22</v>
      </c>
      <c r="AQ86" s="522" t="str">
        <f t="shared" si="50"/>
        <v>2Q22</v>
      </c>
      <c r="AR86" s="522" t="str">
        <f t="shared" si="50"/>
        <v>3Q22</v>
      </c>
      <c r="AS86" s="522" t="str">
        <f t="shared" si="50"/>
        <v>4Q22</v>
      </c>
      <c r="AT86" s="522" t="str">
        <f t="shared" si="50"/>
        <v>1Q23</v>
      </c>
      <c r="AU86" s="522" t="str">
        <f t="shared" si="50"/>
        <v>2Q23</v>
      </c>
      <c r="AV86" s="522" t="str">
        <f t="shared" si="50"/>
        <v>3Q23</v>
      </c>
      <c r="AW86" s="522" t="str">
        <f t="shared" si="50"/>
        <v>4Q23</v>
      </c>
      <c r="AX86" s="522" t="str">
        <f t="shared" si="50"/>
        <v>1Q24</v>
      </c>
      <c r="AY86" s="522" t="str">
        <f t="shared" si="50"/>
        <v>2Q24</v>
      </c>
      <c r="AZ86" s="522" t="str">
        <f t="shared" si="50"/>
        <v>3Q24</v>
      </c>
      <c r="BA86" s="522" t="str">
        <f t="shared" si="50"/>
        <v>4Q24</v>
      </c>
      <c r="BB86" s="522" t="str">
        <f t="shared" si="50"/>
        <v>1Q25</v>
      </c>
      <c r="BC86" s="522" t="str">
        <f t="shared" si="50"/>
        <v>2Q25</v>
      </c>
      <c r="BD86" s="510"/>
      <c r="BE86" s="513"/>
    </row>
    <row r="87" spans="1:57">
      <c r="A87" s="2" t="s">
        <v>125</v>
      </c>
      <c r="B87" s="85"/>
      <c r="C87" s="114"/>
      <c r="D87" s="114"/>
      <c r="E87" s="114"/>
      <c r="F87" s="114"/>
      <c r="G87" s="238"/>
      <c r="H87" s="238"/>
      <c r="I87" s="238"/>
      <c r="J87" s="238"/>
      <c r="K87" s="238"/>
      <c r="L87" s="238"/>
      <c r="M87" s="238"/>
      <c r="N87" s="238"/>
      <c r="O87" s="238"/>
      <c r="P87" s="238"/>
      <c r="Q87" s="238"/>
      <c r="R87" s="238">
        <f t="shared" ref="R87:AC87" si="51">R28/N28-1</f>
        <v>-0.44867634781376786</v>
      </c>
      <c r="S87" s="238">
        <f t="shared" si="51"/>
        <v>0.2935287790073291</v>
      </c>
      <c r="T87" s="238">
        <f t="shared" si="51"/>
        <v>0.31649205945246206</v>
      </c>
      <c r="U87" s="238">
        <f t="shared" si="51"/>
        <v>0.2318056336469565</v>
      </c>
      <c r="V87" s="238">
        <f t="shared" si="51"/>
        <v>0.24431660747130812</v>
      </c>
      <c r="W87" s="238">
        <f t="shared" si="51"/>
        <v>0.26447406831468045</v>
      </c>
      <c r="X87" s="114"/>
      <c r="Y87" s="114"/>
      <c r="Z87" s="114"/>
      <c r="AA87" s="114"/>
      <c r="AB87" s="114">
        <f t="shared" si="51"/>
        <v>0.39401839394613747</v>
      </c>
      <c r="AC87" s="114">
        <f t="shared" si="51"/>
        <v>0.4801365056554594</v>
      </c>
      <c r="AD87" s="114">
        <f t="shared" ref="AD87:AN87" si="52">AD28/Z28-1</f>
        <v>0.45183457809200589</v>
      </c>
      <c r="AE87" s="117">
        <f t="shared" si="52"/>
        <v>0.32070069573697313</v>
      </c>
      <c r="AF87" s="117">
        <f t="shared" si="52"/>
        <v>0.25467241030291676</v>
      </c>
      <c r="AG87" s="117">
        <f t="shared" si="52"/>
        <v>0.20377886489234109</v>
      </c>
      <c r="AH87" s="117">
        <f t="shared" si="52"/>
        <v>0.13743322598411978</v>
      </c>
      <c r="AI87" s="117">
        <f t="shared" si="52"/>
        <v>0.1769229855677743</v>
      </c>
      <c r="AJ87" s="117">
        <f t="shared" si="52"/>
        <v>0.12379751168671382</v>
      </c>
      <c r="AK87" s="117">
        <f t="shared" si="52"/>
        <v>0.18048507860378349</v>
      </c>
      <c r="AL87" s="117">
        <f t="shared" si="52"/>
        <v>0.23235798596713431</v>
      </c>
      <c r="AM87" s="117">
        <f t="shared" si="52"/>
        <v>0.24087035412096514</v>
      </c>
      <c r="AN87" s="117">
        <f t="shared" si="52"/>
        <v>0.23526415386986743</v>
      </c>
      <c r="AO87" s="117">
        <f t="shared" ref="AO87:AS87" si="53">AO28/AK28-1</f>
        <v>0.14504434797123156</v>
      </c>
      <c r="AP87" s="117">
        <f t="shared" si="53"/>
        <v>0.14773429105451186</v>
      </c>
      <c r="AQ87" s="117">
        <f t="shared" si="53"/>
        <v>0.10919825509399628</v>
      </c>
      <c r="AR87" s="117">
        <f t="shared" si="53"/>
        <v>0.11052245651069725</v>
      </c>
      <c r="AS87" s="117">
        <f t="shared" si="53"/>
        <v>0.15154680180015268</v>
      </c>
      <c r="AT87" s="117">
        <f t="shared" ref="AT87:BC87" si="54">AT28/AP28-1</f>
        <v>9.6675755290568821E-2</v>
      </c>
      <c r="AU87" s="117">
        <f t="shared" si="54"/>
        <v>0.10642061387696522</v>
      </c>
      <c r="AV87" s="117">
        <f t="shared" si="54"/>
        <v>0.13638850380674405</v>
      </c>
      <c r="AW87" s="117">
        <f t="shared" si="54"/>
        <v>0.16934020199426536</v>
      </c>
      <c r="AX87" s="117">
        <f t="shared" si="54"/>
        <v>0.22017299212127539</v>
      </c>
      <c r="AY87" s="117">
        <f t="shared" si="54"/>
        <v>0.23033794295592047</v>
      </c>
      <c r="AZ87" s="117">
        <f t="shared" si="54"/>
        <v>0.22350690525562489</v>
      </c>
      <c r="BA87" s="117">
        <f t="shared" si="54"/>
        <v>0.17760903909561465</v>
      </c>
      <c r="BB87" s="117">
        <f t="shared" si="54"/>
        <v>0.13417670170382401</v>
      </c>
      <c r="BC87" s="117">
        <f t="shared" si="54"/>
        <v>0.10411070345309925</v>
      </c>
      <c r="BD87" s="2"/>
      <c r="BE87" s="2"/>
    </row>
    <row r="88" spans="1:57">
      <c r="A88" s="2" t="s">
        <v>382</v>
      </c>
      <c r="B88" s="85"/>
      <c r="C88" s="85"/>
      <c r="D88" s="85"/>
      <c r="E88" s="85"/>
      <c r="F88" s="85"/>
      <c r="G88" s="237"/>
      <c r="H88" s="237"/>
      <c r="I88" s="237"/>
      <c r="J88" s="237"/>
      <c r="K88" s="237"/>
      <c r="L88" s="237"/>
      <c r="M88" s="237"/>
      <c r="N88" s="235">
        <f t="shared" ref="N88:AC88" si="55">N28-M28</f>
        <v>1345.5244100000018</v>
      </c>
      <c r="O88" s="235">
        <f t="shared" si="55"/>
        <v>-12601.849228637382</v>
      </c>
      <c r="P88" s="235">
        <f t="shared" si="55"/>
        <v>193.53011488250195</v>
      </c>
      <c r="Q88" s="235">
        <f t="shared" si="55"/>
        <v>1047.1264644843432</v>
      </c>
      <c r="R88" s="235">
        <f t="shared" si="55"/>
        <v>749.81421927053634</v>
      </c>
      <c r="S88" s="235">
        <f t="shared" si="55"/>
        <v>1252.5990000000002</v>
      </c>
      <c r="T88" s="235">
        <f t="shared" si="55"/>
        <v>508.49200000000019</v>
      </c>
      <c r="U88" s="235">
        <f t="shared" si="55"/>
        <v>337.80400000000009</v>
      </c>
      <c r="V88" s="235">
        <f t="shared" si="55"/>
        <v>1086.756330000002</v>
      </c>
      <c r="W88" s="235">
        <f t="shared" si="55"/>
        <v>1846.712669999999</v>
      </c>
      <c r="X88" s="113">
        <f t="shared" si="55"/>
        <v>-1339.8946199999991</v>
      </c>
      <c r="Y88" s="113">
        <f t="shared" si="55"/>
        <v>119.2838989999982</v>
      </c>
      <c r="Z88" s="113">
        <f t="shared" si="55"/>
        <v>1316.6138079999982</v>
      </c>
      <c r="AA88" s="113">
        <f t="shared" si="55"/>
        <v>2361.913913000004</v>
      </c>
      <c r="AB88" s="113">
        <f t="shared" si="55"/>
        <v>2794.7065000000002</v>
      </c>
      <c r="AC88" s="113">
        <f t="shared" si="55"/>
        <v>1617.4414999999972</v>
      </c>
      <c r="AD88" s="113">
        <f t="shared" ref="AD88:AO88" si="56">AD28-AC28</f>
        <v>1434.595833000003</v>
      </c>
      <c r="AE88" s="189">
        <f t="shared" si="56"/>
        <v>737.02016699999876</v>
      </c>
      <c r="AF88" s="189">
        <f t="shared" si="56"/>
        <v>2150.9259999999995</v>
      </c>
      <c r="AG88" s="189">
        <f t="shared" si="56"/>
        <v>760</v>
      </c>
      <c r="AH88" s="189">
        <f t="shared" si="56"/>
        <v>-23</v>
      </c>
      <c r="AI88" s="189">
        <f t="shared" si="56"/>
        <v>1909</v>
      </c>
      <c r="AJ88" s="189">
        <f t="shared" si="56"/>
        <v>976.81038199999603</v>
      </c>
      <c r="AK88" s="189">
        <f t="shared" si="56"/>
        <v>2556.0736180000022</v>
      </c>
      <c r="AL88" s="189">
        <f t="shared" si="56"/>
        <v>1529.0879369999966</v>
      </c>
      <c r="AM88" s="189">
        <f t="shared" si="56"/>
        <v>2624.2010630000004</v>
      </c>
      <c r="AN88" s="189">
        <f t="shared" si="56"/>
        <v>1027.7249999999985</v>
      </c>
      <c r="AO88" s="189">
        <f t="shared" si="56"/>
        <v>-40.224000000001979</v>
      </c>
      <c r="AP88" s="189">
        <f t="shared" ref="AP88:BC88" si="57">AP28-AO28</f>
        <v>1850.3260000000082</v>
      </c>
      <c r="AQ88" s="189">
        <f t="shared" si="57"/>
        <v>1486.0060000000012</v>
      </c>
      <c r="AR88" s="189">
        <f t="shared" si="57"/>
        <v>1193.7449999999953</v>
      </c>
      <c r="AS88" s="189">
        <f t="shared" si="57"/>
        <v>1620.2490000000034</v>
      </c>
      <c r="AT88" s="189">
        <f t="shared" si="57"/>
        <v>-197.66100000000006</v>
      </c>
      <c r="AU88" s="189">
        <f t="shared" si="57"/>
        <v>2057.6610000000001</v>
      </c>
      <c r="AV88" s="189">
        <f t="shared" si="57"/>
        <v>2672.7479999999996</v>
      </c>
      <c r="AW88" s="189">
        <f t="shared" si="57"/>
        <v>3381.1970000000001</v>
      </c>
      <c r="AX88" s="189">
        <f t="shared" si="57"/>
        <v>2134.4390000000058</v>
      </c>
      <c r="AY88" s="189">
        <f t="shared" si="57"/>
        <v>3004.6579999999958</v>
      </c>
      <c r="AZ88" s="189">
        <f t="shared" si="57"/>
        <v>2938.178187999998</v>
      </c>
      <c r="BA88" s="189">
        <f t="shared" si="57"/>
        <v>1628.693812000005</v>
      </c>
      <c r="BB88" s="189">
        <f t="shared" si="57"/>
        <v>47.342999999993481</v>
      </c>
      <c r="BC88" s="189">
        <f t="shared" si="57"/>
        <v>1610.2559999999939</v>
      </c>
      <c r="BD88" s="2"/>
      <c r="BE88" s="2"/>
    </row>
    <row r="89" spans="1:57">
      <c r="A89" s="2" t="s">
        <v>383</v>
      </c>
      <c r="B89" s="85"/>
      <c r="C89" s="85"/>
      <c r="D89" s="85"/>
      <c r="E89" s="85"/>
      <c r="F89" s="85"/>
      <c r="G89" s="237"/>
      <c r="H89" s="237"/>
      <c r="I89" s="237"/>
      <c r="J89" s="237"/>
      <c r="K89" s="237"/>
      <c r="L89" s="237"/>
      <c r="M89" s="237"/>
      <c r="N89" s="235">
        <f t="shared" ref="N89:AC89" si="58">AVERAGE(N28,M28)</f>
        <v>22977.645225</v>
      </c>
      <c r="O89" s="235">
        <f t="shared" si="58"/>
        <v>17349.482815681309</v>
      </c>
      <c r="P89" s="235">
        <f t="shared" si="58"/>
        <v>11145.323258803868</v>
      </c>
      <c r="Q89" s="235">
        <f t="shared" si="58"/>
        <v>11765.651548487291</v>
      </c>
      <c r="R89" s="235">
        <f t="shared" si="58"/>
        <v>12664.121890364731</v>
      </c>
      <c r="S89" s="235">
        <f t="shared" si="58"/>
        <v>13665.3285</v>
      </c>
      <c r="T89" s="235">
        <f t="shared" si="58"/>
        <v>14545.874</v>
      </c>
      <c r="U89" s="235">
        <f t="shared" si="58"/>
        <v>14969.021999999999</v>
      </c>
      <c r="V89" s="235">
        <f t="shared" si="58"/>
        <v>15681.302165000001</v>
      </c>
      <c r="W89" s="235">
        <f t="shared" si="58"/>
        <v>17148.036665</v>
      </c>
      <c r="X89" s="113">
        <f t="shared" si="58"/>
        <v>17401.44569</v>
      </c>
      <c r="Y89" s="113">
        <f t="shared" si="58"/>
        <v>16791.140329499998</v>
      </c>
      <c r="Z89" s="113">
        <f t="shared" si="58"/>
        <v>17509.089182999996</v>
      </c>
      <c r="AA89" s="113">
        <f t="shared" si="58"/>
        <v>19348.353043499999</v>
      </c>
      <c r="AB89" s="113">
        <f t="shared" si="58"/>
        <v>21926.663250000001</v>
      </c>
      <c r="AC89" s="113">
        <f t="shared" si="58"/>
        <v>24132.737249999998</v>
      </c>
      <c r="AD89" s="113">
        <f t="shared" ref="AD89:AO89" si="59">AVERAGE(AD28,AC28)</f>
        <v>25658.755916499998</v>
      </c>
      <c r="AE89" s="189">
        <f t="shared" si="59"/>
        <v>26744.563916500003</v>
      </c>
      <c r="AF89" s="189">
        <f t="shared" si="59"/>
        <v>28188.537</v>
      </c>
      <c r="AG89" s="189">
        <f t="shared" si="59"/>
        <v>29644</v>
      </c>
      <c r="AH89" s="189">
        <f t="shared" si="59"/>
        <v>30012.5</v>
      </c>
      <c r="AI89" s="189">
        <f t="shared" si="59"/>
        <v>30955.5</v>
      </c>
      <c r="AJ89" s="189">
        <f t="shared" si="59"/>
        <v>32398.405190999998</v>
      </c>
      <c r="AK89" s="189">
        <f t="shared" si="59"/>
        <v>34164.847190999993</v>
      </c>
      <c r="AL89" s="189">
        <f t="shared" si="59"/>
        <v>36207.427968499993</v>
      </c>
      <c r="AM89" s="189">
        <f t="shared" si="59"/>
        <v>38284.072468499995</v>
      </c>
      <c r="AN89" s="189">
        <f t="shared" si="59"/>
        <v>40110.035499999998</v>
      </c>
      <c r="AO89" s="189">
        <f t="shared" si="59"/>
        <v>40603.785999999993</v>
      </c>
      <c r="AP89" s="189">
        <f t="shared" ref="AP89:BC89" si="60">AVERAGE(AP28,AO28)</f>
        <v>41508.837</v>
      </c>
      <c r="AQ89" s="189">
        <f t="shared" si="60"/>
        <v>43177.002999999997</v>
      </c>
      <c r="AR89" s="189">
        <f t="shared" si="60"/>
        <v>44516.878499999999</v>
      </c>
      <c r="AS89" s="189">
        <f t="shared" si="60"/>
        <v>45923.875499999995</v>
      </c>
      <c r="AT89" s="189">
        <f t="shared" si="60"/>
        <v>46635.169500000004</v>
      </c>
      <c r="AU89" s="189">
        <f t="shared" si="60"/>
        <v>47565.169500000004</v>
      </c>
      <c r="AV89" s="189">
        <f t="shared" si="60"/>
        <v>49930.373999999996</v>
      </c>
      <c r="AW89" s="189">
        <f t="shared" si="60"/>
        <v>52957.3465</v>
      </c>
      <c r="AX89" s="189">
        <f t="shared" si="60"/>
        <v>55715.164499999999</v>
      </c>
      <c r="AY89" s="189">
        <f t="shared" si="60"/>
        <v>58284.713000000003</v>
      </c>
      <c r="AZ89" s="189">
        <f t="shared" si="60"/>
        <v>61256.131093999997</v>
      </c>
      <c r="BA89" s="189">
        <f t="shared" si="60"/>
        <v>63539.567093999998</v>
      </c>
      <c r="BB89" s="189">
        <f t="shared" si="60"/>
        <v>64377.585500000001</v>
      </c>
      <c r="BC89" s="189">
        <f t="shared" si="60"/>
        <v>65206.384999999995</v>
      </c>
      <c r="BD89" s="2"/>
      <c r="BE89" s="2"/>
    </row>
    <row r="90" spans="1:57">
      <c r="A90" s="2"/>
      <c r="B90" s="85"/>
      <c r="C90" s="85"/>
      <c r="D90" s="85"/>
      <c r="E90" s="85"/>
      <c r="F90" s="85"/>
      <c r="G90" s="237"/>
      <c r="H90" s="237"/>
      <c r="I90" s="237"/>
      <c r="J90" s="237"/>
      <c r="K90" s="237"/>
      <c r="L90" s="237"/>
      <c r="M90" s="237"/>
      <c r="N90" s="235"/>
      <c r="O90" s="235"/>
      <c r="P90" s="235"/>
      <c r="Q90" s="235"/>
      <c r="R90" s="235"/>
      <c r="S90" s="235"/>
      <c r="T90" s="235"/>
      <c r="U90" s="235"/>
      <c r="V90" s="240"/>
      <c r="W90" s="240"/>
      <c r="X90" s="181"/>
      <c r="Y90" s="181"/>
      <c r="Z90" s="181"/>
      <c r="AA90" s="181"/>
      <c r="AB90" s="181"/>
      <c r="AC90" s="181"/>
      <c r="AD90" s="181"/>
      <c r="AE90" s="190"/>
      <c r="AF90" s="190"/>
      <c r="AG90" s="190"/>
      <c r="AH90" s="190"/>
      <c r="AI90" s="190"/>
      <c r="AJ90" s="190"/>
      <c r="AK90" s="190"/>
      <c r="AL90" s="190"/>
      <c r="AM90" s="190"/>
      <c r="AN90" s="190"/>
      <c r="AO90" s="190"/>
      <c r="AP90" s="190"/>
      <c r="AQ90" s="190"/>
      <c r="AR90" s="190"/>
      <c r="AS90" s="190"/>
      <c r="AT90" s="190"/>
      <c r="AU90" s="190"/>
      <c r="AV90" s="190"/>
      <c r="AW90" s="190"/>
      <c r="AX90" s="190"/>
      <c r="AY90" s="190"/>
      <c r="AZ90" s="190"/>
      <c r="BA90" s="190"/>
      <c r="BB90" s="190"/>
      <c r="BC90" s="190"/>
      <c r="BD90" s="2"/>
      <c r="BE90" s="2"/>
    </row>
    <row r="91" spans="1:57">
      <c r="A91" s="2" t="s">
        <v>581</v>
      </c>
      <c r="B91" s="113"/>
      <c r="C91" s="113"/>
      <c r="D91" s="113"/>
      <c r="E91" s="113"/>
      <c r="F91" s="113"/>
      <c r="G91" s="235">
        <f t="shared" ref="G91:Y91" si="61">G31*1000/G69/3</f>
        <v>12.484573658002697</v>
      </c>
      <c r="H91" s="235">
        <f t="shared" si="61"/>
        <v>13.572187479932746</v>
      </c>
      <c r="I91" s="235">
        <f t="shared" si="61"/>
        <v>15.965320323862811</v>
      </c>
      <c r="J91" s="235">
        <f t="shared" si="61"/>
        <v>16.365521233879939</v>
      </c>
      <c r="K91" s="235">
        <f t="shared" si="61"/>
        <v>21.517336716468915</v>
      </c>
      <c r="L91" s="235">
        <f t="shared" si="61"/>
        <v>26.645926057255462</v>
      </c>
      <c r="M91" s="235">
        <f t="shared" si="61"/>
        <v>29.588904907173958</v>
      </c>
      <c r="N91" s="235">
        <f t="shared" si="61"/>
        <v>31.478774906467994</v>
      </c>
      <c r="O91" s="235">
        <f t="shared" si="61"/>
        <v>38.260679430012139</v>
      </c>
      <c r="P91" s="235">
        <f t="shared" si="61"/>
        <v>43.275183742154731</v>
      </c>
      <c r="Q91" s="235">
        <f t="shared" si="61"/>
        <v>49.739020341083268</v>
      </c>
      <c r="R91" s="235">
        <f t="shared" si="61"/>
        <v>59.697611873348443</v>
      </c>
      <c r="S91" s="235">
        <f t="shared" si="61"/>
        <v>69.041235338259526</v>
      </c>
      <c r="T91" s="235">
        <f t="shared" si="61"/>
        <v>81.66258459276871</v>
      </c>
      <c r="U91" s="235">
        <f t="shared" si="61"/>
        <v>100.59111738262312</v>
      </c>
      <c r="V91" s="240">
        <f t="shared" si="61"/>
        <v>122.54811593011641</v>
      </c>
      <c r="W91" s="240">
        <f t="shared" si="61"/>
        <v>148.43577720996319</v>
      </c>
      <c r="X91" s="181">
        <f t="shared" si="61"/>
        <v>144.27755954107874</v>
      </c>
      <c r="Y91" s="181">
        <f t="shared" si="61"/>
        <v>160.68553394834657</v>
      </c>
      <c r="Z91" s="181">
        <f t="shared" ref="Z91:AA91" si="62">Z31*1000/Z69/3</f>
        <v>192.64382320761069</v>
      </c>
      <c r="AA91" s="181">
        <f t="shared" si="62"/>
        <v>248.20723344556134</v>
      </c>
      <c r="AB91" s="181">
        <f t="shared" ref="AB91:AG91" si="63">AB31*1000/AB69/3</f>
        <v>268.28474384739661</v>
      </c>
      <c r="AC91" s="181">
        <f t="shared" si="63"/>
        <v>268.00428060724363</v>
      </c>
      <c r="AD91" s="181">
        <f t="shared" si="63"/>
        <v>287.46113849891691</v>
      </c>
      <c r="AE91" s="190">
        <f t="shared" si="63"/>
        <v>319.53155372123155</v>
      </c>
      <c r="AF91" s="190">
        <f t="shared" si="63"/>
        <v>365.72331824252575</v>
      </c>
      <c r="AG91" s="190">
        <f t="shared" si="63"/>
        <v>408.84335418646532</v>
      </c>
      <c r="AH91" s="190">
        <f t="shared" ref="AH91:AI91" si="64">AH31*1000/AH69/3</f>
        <v>467.80193101086638</v>
      </c>
      <c r="AI91" s="190">
        <f t="shared" si="64"/>
        <v>531.86909078956489</v>
      </c>
      <c r="AJ91" s="190">
        <f t="shared" ref="AJ91:AK91" si="65">AJ31*1000/AJ69/3</f>
        <v>599.6204253469549</v>
      </c>
      <c r="AK91" s="190">
        <f t="shared" si="65"/>
        <v>670.5601199915626</v>
      </c>
      <c r="AL91" s="190">
        <f t="shared" ref="AL91:AM91" si="66">AL31*1000/AL69/3</f>
        <v>839.21678849939281</v>
      </c>
      <c r="AM91" s="190">
        <f t="shared" si="66"/>
        <v>860.04763185712773</v>
      </c>
      <c r="AN91" s="190">
        <f t="shared" ref="AN91" si="67">AN31*1000/AN69/3</f>
        <v>908.35390198310563</v>
      </c>
      <c r="AO91" s="190">
        <f t="shared" ref="AO91:AP91" si="68">AO31*1000/AO69/3</f>
        <v>979.15646610909619</v>
      </c>
      <c r="AP91" s="190">
        <f t="shared" si="68"/>
        <v>1145.7270872711051</v>
      </c>
      <c r="AQ91" s="190">
        <f t="shared" ref="AQ91:AR91" si="69">AQ31*1000/AQ69/3</f>
        <v>1229.0890636853107</v>
      </c>
      <c r="AR91" s="190">
        <f t="shared" si="69"/>
        <v>1284.7539110786863</v>
      </c>
      <c r="AS91" s="190">
        <f t="shared" ref="AS91:AT91" si="70">AS31*1000/AS69/3</f>
        <v>1335.7540947060597</v>
      </c>
      <c r="AT91" s="190">
        <f t="shared" si="70"/>
        <v>1456.8486835325668</v>
      </c>
      <c r="AU91" s="190">
        <f t="shared" ref="AU91:AV91" si="71">AU31*1000/AU69/3</f>
        <v>1620.4159645990969</v>
      </c>
      <c r="AV91" s="190">
        <f t="shared" si="71"/>
        <v>1691.1585997274931</v>
      </c>
      <c r="AW91" s="190">
        <f t="shared" ref="AW91:AY91" si="72">AW31*1000/AW69/3</f>
        <v>1752.8086228190789</v>
      </c>
      <c r="AX91" s="190">
        <f t="shared" si="72"/>
        <v>1939.2147438908341</v>
      </c>
      <c r="AY91" s="190">
        <f t="shared" si="72"/>
        <v>2104.5355989254576</v>
      </c>
      <c r="AZ91" s="190">
        <f t="shared" ref="AZ91:BA91" si="73">AZ31*1000/AZ69/3</f>
        <v>2251.0428101214775</v>
      </c>
      <c r="BA91" s="190">
        <f t="shared" si="73"/>
        <v>2394.1368856005602</v>
      </c>
      <c r="BB91" s="190">
        <f t="shared" ref="BB91:BC91" si="74">BB31*1000/BB69/3</f>
        <v>2.5726757857073812</v>
      </c>
      <c r="BC91" s="190">
        <f t="shared" si="74"/>
        <v>2.9684163331400808</v>
      </c>
      <c r="BD91" s="2"/>
      <c r="BE91" s="2"/>
    </row>
    <row r="92" spans="1:57">
      <c r="A92" s="2" t="s">
        <v>193</v>
      </c>
      <c r="B92" s="113"/>
      <c r="C92" s="113"/>
      <c r="D92" s="113"/>
      <c r="E92" s="113"/>
      <c r="F92" s="113"/>
      <c r="G92" s="235"/>
      <c r="H92" s="235"/>
      <c r="I92" s="235"/>
      <c r="J92" s="235"/>
      <c r="K92" s="235"/>
      <c r="L92" s="235"/>
      <c r="M92" s="235"/>
      <c r="N92" s="230">
        <f t="shared" ref="N92:W92" si="75">N56/N31</f>
        <v>0.93405278146008464</v>
      </c>
      <c r="O92" s="230">
        <f t="shared" si="75"/>
        <v>0.86266131307897054</v>
      </c>
      <c r="P92" s="230">
        <f t="shared" si="75"/>
        <v>0.75581484678171751</v>
      </c>
      <c r="Q92" s="230">
        <f t="shared" si="75"/>
        <v>0.63403979705469515</v>
      </c>
      <c r="R92" s="230">
        <f t="shared" si="75"/>
        <v>0.57385887640113964</v>
      </c>
      <c r="S92" s="230">
        <f t="shared" si="75"/>
        <v>0.51492445178833834</v>
      </c>
      <c r="T92" s="230">
        <f t="shared" si="75"/>
        <v>0.46122231094141192</v>
      </c>
      <c r="U92" s="230">
        <f t="shared" si="75"/>
        <v>0.44584556289401545</v>
      </c>
      <c r="V92" s="241">
        <f t="shared" si="75"/>
        <v>0.38179009008446857</v>
      </c>
      <c r="W92" s="241">
        <f t="shared" si="75"/>
        <v>0.2535763753511513</v>
      </c>
      <c r="X92" s="242"/>
      <c r="Y92" s="242"/>
      <c r="Z92" s="242"/>
      <c r="AA92" s="169"/>
      <c r="AB92" s="169"/>
      <c r="AC92" s="169"/>
      <c r="AD92" s="169"/>
      <c r="AE92" s="169"/>
      <c r="AF92" s="169"/>
      <c r="AG92" s="169"/>
      <c r="AH92" s="169"/>
      <c r="AI92" s="169"/>
      <c r="AJ92" s="169"/>
      <c r="AK92" s="169"/>
      <c r="AL92" s="169"/>
      <c r="AM92" s="169"/>
      <c r="AN92" s="169"/>
      <c r="AO92" s="169"/>
      <c r="AP92" s="169"/>
      <c r="AQ92" s="169"/>
      <c r="AR92" s="169"/>
      <c r="AS92" s="169"/>
      <c r="AT92" s="169"/>
      <c r="AU92" s="169"/>
      <c r="AV92" s="169"/>
      <c r="AW92" s="169"/>
      <c r="AX92" s="169"/>
      <c r="AY92" s="169"/>
      <c r="AZ92" s="169"/>
      <c r="BA92" s="169"/>
      <c r="BB92" s="169"/>
      <c r="BC92" s="169"/>
      <c r="BD92" s="15"/>
      <c r="BE92" s="14"/>
    </row>
    <row r="93" spans="1:57">
      <c r="A93" s="2" t="s">
        <v>440</v>
      </c>
      <c r="B93" s="85"/>
      <c r="C93" s="85"/>
      <c r="D93" s="85"/>
      <c r="E93" s="85"/>
      <c r="F93" s="85"/>
      <c r="G93" s="237"/>
      <c r="H93" s="237"/>
      <c r="I93" s="237"/>
      <c r="J93" s="237"/>
      <c r="K93" s="237"/>
      <c r="L93" s="237"/>
      <c r="M93" s="237"/>
      <c r="N93" s="235">
        <f t="shared" ref="N93:W93" si="76">N56*1000/N89/3</f>
        <v>88.6327451303179</v>
      </c>
      <c r="O93" s="235">
        <f t="shared" si="76"/>
        <v>133.59996840573578</v>
      </c>
      <c r="P93" s="235">
        <f t="shared" si="76"/>
        <v>214.18139887888535</v>
      </c>
      <c r="Q93" s="235">
        <f t="shared" si="76"/>
        <v>202.18361301039343</v>
      </c>
      <c r="R93" s="235">
        <f t="shared" si="76"/>
        <v>209.08725435396693</v>
      </c>
      <c r="S93" s="235">
        <f t="shared" si="76"/>
        <v>207.02858926381074</v>
      </c>
      <c r="T93" s="235">
        <f t="shared" si="76"/>
        <v>203.49863661243015</v>
      </c>
      <c r="U93" s="235">
        <f t="shared" si="76"/>
        <v>226.23379615590156</v>
      </c>
      <c r="V93" s="240">
        <f t="shared" si="76"/>
        <v>224.43644701213188</v>
      </c>
      <c r="W93" s="240">
        <f t="shared" si="76"/>
        <v>168.91968932408838</v>
      </c>
      <c r="X93" s="168"/>
      <c r="Y93" s="168"/>
      <c r="Z93" s="168"/>
      <c r="AA93" s="169"/>
      <c r="AB93" s="169"/>
      <c r="AC93" s="169"/>
      <c r="AD93" s="169"/>
      <c r="AE93" s="169"/>
      <c r="AF93" s="169"/>
      <c r="AG93" s="169"/>
      <c r="AH93" s="169"/>
      <c r="AI93" s="169"/>
      <c r="AJ93" s="169"/>
      <c r="AK93" s="169"/>
      <c r="AL93" s="169"/>
      <c r="AM93" s="169"/>
      <c r="AN93" s="169"/>
      <c r="AO93" s="169"/>
      <c r="AP93" s="169"/>
      <c r="AQ93" s="169"/>
      <c r="AR93" s="169"/>
      <c r="AS93" s="169"/>
      <c r="AT93" s="169"/>
      <c r="AU93" s="169"/>
      <c r="AV93" s="169"/>
      <c r="AW93" s="169"/>
      <c r="AX93" s="169"/>
      <c r="AY93" s="169"/>
      <c r="AZ93" s="169"/>
      <c r="BA93" s="169"/>
      <c r="BB93" s="169"/>
      <c r="BC93" s="169"/>
      <c r="BD93" s="15"/>
      <c r="BE93" s="14"/>
    </row>
    <row r="94" spans="1:57">
      <c r="A94" s="2"/>
      <c r="B94" s="85"/>
      <c r="C94" s="85"/>
      <c r="D94" s="85"/>
      <c r="E94" s="85"/>
      <c r="F94" s="85"/>
      <c r="G94" s="237"/>
      <c r="H94" s="237"/>
      <c r="I94" s="237"/>
      <c r="J94" s="237"/>
      <c r="K94" s="237"/>
      <c r="L94" s="237"/>
      <c r="M94" s="237"/>
      <c r="N94" s="235"/>
      <c r="O94" s="235"/>
      <c r="P94" s="235"/>
      <c r="Q94" s="235"/>
      <c r="R94" s="235"/>
      <c r="S94" s="235"/>
      <c r="T94" s="235"/>
      <c r="U94" s="235"/>
      <c r="V94" s="240"/>
      <c r="W94" s="240"/>
      <c r="X94" s="168"/>
      <c r="Y94" s="168"/>
      <c r="Z94" s="168"/>
      <c r="AA94" s="168"/>
      <c r="AB94" s="168"/>
      <c r="AC94" s="168"/>
      <c r="AD94" s="168"/>
      <c r="AE94" s="169"/>
      <c r="AF94" s="169"/>
      <c r="AG94" s="169"/>
      <c r="AH94" s="169"/>
      <c r="AI94" s="169"/>
      <c r="AJ94" s="169"/>
      <c r="AK94" s="169"/>
      <c r="AL94" s="169"/>
      <c r="AM94" s="169"/>
      <c r="AN94" s="169"/>
      <c r="AO94" s="169"/>
      <c r="AP94" s="169"/>
      <c r="AQ94" s="169"/>
      <c r="AR94" s="169"/>
      <c r="AS94" s="169"/>
      <c r="AT94" s="169"/>
      <c r="AU94" s="169"/>
      <c r="AV94" s="169"/>
      <c r="AW94" s="169"/>
      <c r="AX94" s="169"/>
      <c r="AY94" s="169"/>
      <c r="AZ94" s="169"/>
      <c r="BA94" s="169"/>
      <c r="BB94" s="169"/>
      <c r="BC94" s="169"/>
      <c r="BD94" s="2"/>
      <c r="BE94" s="2"/>
    </row>
    <row r="95" spans="1:57">
      <c r="A95" s="2" t="s">
        <v>432</v>
      </c>
      <c r="B95" s="85"/>
      <c r="C95" s="114"/>
      <c r="D95" s="114"/>
      <c r="E95" s="114"/>
      <c r="F95" s="114"/>
      <c r="G95" s="238"/>
      <c r="H95" s="238"/>
      <c r="I95" s="238"/>
      <c r="J95" s="238"/>
      <c r="K95" s="238">
        <f t="shared" ref="K95:AC95" si="77">K31/G31-1</f>
        <v>0.96522306163478166</v>
      </c>
      <c r="L95" s="238">
        <f t="shared" si="77"/>
        <v>1.1970653745759736</v>
      </c>
      <c r="M95" s="238">
        <f t="shared" si="77"/>
        <v>1.035772862508515</v>
      </c>
      <c r="N95" s="238">
        <f t="shared" si="77"/>
        <v>1.0829839952579903</v>
      </c>
      <c r="O95" s="238">
        <f t="shared" si="77"/>
        <v>0.91254330475180678</v>
      </c>
      <c r="P95" s="238">
        <f t="shared" si="77"/>
        <v>0.76009565826958259</v>
      </c>
      <c r="Q95" s="238">
        <f t="shared" si="77"/>
        <v>0.84099817803762789</v>
      </c>
      <c r="R95" s="238">
        <f t="shared" si="77"/>
        <v>1.1162610357142917</v>
      </c>
      <c r="S95" s="238">
        <f t="shared" si="77"/>
        <v>1.0448163882724044</v>
      </c>
      <c r="T95" s="238">
        <f t="shared" si="77"/>
        <v>1.0320388946738759</v>
      </c>
      <c r="U95" s="238">
        <f t="shared" si="77"/>
        <v>1.0245152092680136</v>
      </c>
      <c r="V95" s="172">
        <f t="shared" si="77"/>
        <v>0.99780602658940221</v>
      </c>
      <c r="W95" s="172">
        <f t="shared" si="77"/>
        <v>1.0791173574882227</v>
      </c>
      <c r="X95" s="115"/>
      <c r="Y95" s="115"/>
      <c r="Z95" s="115"/>
      <c r="AA95" s="115"/>
      <c r="AB95" s="115">
        <f t="shared" si="77"/>
        <v>0.95304923134669672</v>
      </c>
      <c r="AC95" s="115">
        <f t="shared" si="77"/>
        <v>0.88216189615718132</v>
      </c>
      <c r="AD95" s="115">
        <f t="shared" ref="AD95:AN95" si="78">AD31/Z31-1</f>
        <v>0.75322676975124958</v>
      </c>
      <c r="AE95" s="116">
        <f t="shared" si="78"/>
        <v>0.53295895425054995</v>
      </c>
      <c r="AF95" s="116">
        <f t="shared" si="78"/>
        <v>0.60713826003303706</v>
      </c>
      <c r="AG95" s="116">
        <f t="shared" si="78"/>
        <v>0.7312180860772064</v>
      </c>
      <c r="AH95" s="116">
        <f t="shared" si="78"/>
        <v>0.79027926870256748</v>
      </c>
      <c r="AI95" s="116">
        <f t="shared" si="78"/>
        <v>0.82859163771508992</v>
      </c>
      <c r="AJ95" s="116">
        <f t="shared" si="78"/>
        <v>0.80180331832839991</v>
      </c>
      <c r="AK95" s="116">
        <f t="shared" si="78"/>
        <v>0.81493298252458723</v>
      </c>
      <c r="AL95" s="116">
        <f t="shared" si="78"/>
        <v>1.0067091464863713</v>
      </c>
      <c r="AM95" s="116">
        <f t="shared" si="78"/>
        <v>0.80991401556451614</v>
      </c>
      <c r="AN95" s="116">
        <f t="shared" si="78"/>
        <v>0.68899477077807347</v>
      </c>
      <c r="AO95" s="116">
        <f t="shared" ref="AO95:AS95" si="79">AO31/AK31-1</f>
        <v>0.5899825484499166</v>
      </c>
      <c r="AP95" s="116">
        <f t="shared" si="79"/>
        <v>0.46927850115710323</v>
      </c>
      <c r="AQ95" s="116">
        <f t="shared" si="79"/>
        <v>0.52733101733016952</v>
      </c>
      <c r="AR95" s="116">
        <f t="shared" si="79"/>
        <v>0.49363741746241652</v>
      </c>
      <c r="AS95" s="116">
        <f t="shared" si="79"/>
        <v>0.46254613709646386</v>
      </c>
      <c r="AT95" s="116">
        <f t="shared" ref="AT95:BC95" si="80">AT31/AP31-1</f>
        <v>0.38325675030821937</v>
      </c>
      <c r="AU95" s="116">
        <f t="shared" si="80"/>
        <v>0.44141932197660605</v>
      </c>
      <c r="AV95" s="116">
        <f t="shared" si="80"/>
        <v>0.44720323370717763</v>
      </c>
      <c r="AW95" s="116">
        <f t="shared" si="80"/>
        <v>0.43797591226292432</v>
      </c>
      <c r="AX95" s="116">
        <f t="shared" si="80"/>
        <v>0.44971596991867258</v>
      </c>
      <c r="AY95" s="116">
        <f t="shared" si="80"/>
        <v>0.41854783533307161</v>
      </c>
      <c r="AZ95" s="116">
        <f t="shared" si="80"/>
        <v>0.45617326086353582</v>
      </c>
      <c r="BA95" s="116">
        <f t="shared" si="80"/>
        <v>0.49014209833696909</v>
      </c>
      <c r="BB95" s="116">
        <f t="shared" si="80"/>
        <v>-0.99855628100088201</v>
      </c>
      <c r="BC95" s="116">
        <f t="shared" si="80"/>
        <v>-0.99848623898050559</v>
      </c>
      <c r="BD95" s="2"/>
      <c r="BE95" s="2"/>
    </row>
    <row r="96" spans="1:57">
      <c r="A96" s="2" t="s">
        <v>433</v>
      </c>
      <c r="B96" s="85"/>
      <c r="C96" s="114"/>
      <c r="D96" s="114"/>
      <c r="E96" s="114"/>
      <c r="F96" s="114"/>
      <c r="G96" s="238"/>
      <c r="H96" s="238"/>
      <c r="I96" s="238"/>
      <c r="J96" s="238"/>
      <c r="K96" s="238">
        <f t="shared" ref="K96:AC96" si="81">K91/G91-1</f>
        <v>0.72351393855377322</v>
      </c>
      <c r="L96" s="238">
        <f t="shared" si="81"/>
        <v>0.96327423981233573</v>
      </c>
      <c r="M96" s="238">
        <f t="shared" si="81"/>
        <v>0.85332359808330605</v>
      </c>
      <c r="N96" s="238">
        <f t="shared" si="81"/>
        <v>0.92348135183745717</v>
      </c>
      <c r="O96" s="238">
        <f t="shared" si="81"/>
        <v>0.77813267200155978</v>
      </c>
      <c r="P96" s="238">
        <f t="shared" si="81"/>
        <v>0.62408255765504772</v>
      </c>
      <c r="Q96" s="238">
        <f t="shared" si="81"/>
        <v>0.68100240604118567</v>
      </c>
      <c r="R96" s="238">
        <f t="shared" si="81"/>
        <v>0.89644012674337836</v>
      </c>
      <c r="S96" s="238">
        <f t="shared" si="81"/>
        <v>0.80449580004328802</v>
      </c>
      <c r="T96" s="238">
        <f t="shared" si="81"/>
        <v>0.88705344567307942</v>
      </c>
      <c r="U96" s="238">
        <f t="shared" si="81"/>
        <v>1.0223783398390984</v>
      </c>
      <c r="V96" s="172">
        <f t="shared" si="81"/>
        <v>1.0528143770660132</v>
      </c>
      <c r="W96" s="172">
        <f t="shared" si="81"/>
        <v>1.149958303653162</v>
      </c>
      <c r="X96" s="115"/>
      <c r="Y96" s="115"/>
      <c r="Z96" s="115"/>
      <c r="AA96" s="115"/>
      <c r="AB96" s="115">
        <f t="shared" si="81"/>
        <v>0.85950431030828822</v>
      </c>
      <c r="AC96" s="115">
        <f t="shared" si="81"/>
        <v>0.66788057407454837</v>
      </c>
      <c r="AD96" s="115">
        <f t="shared" ref="AD96:AN96" si="82">AD91/Z91-1</f>
        <v>0.49218975055910485</v>
      </c>
      <c r="AE96" s="116">
        <f t="shared" si="82"/>
        <v>0.28735794394692205</v>
      </c>
      <c r="AF96" s="116">
        <f t="shared" si="82"/>
        <v>0.36319088815036493</v>
      </c>
      <c r="AG96" s="116">
        <f t="shared" si="82"/>
        <v>0.5255105375933129</v>
      </c>
      <c r="AH96" s="116">
        <f t="shared" si="82"/>
        <v>0.62735712191799076</v>
      </c>
      <c r="AI96" s="116">
        <f t="shared" si="82"/>
        <v>0.66452760172030678</v>
      </c>
      <c r="AJ96" s="116">
        <f t="shared" si="82"/>
        <v>0.63954660651231054</v>
      </c>
      <c r="AK96" s="116">
        <f t="shared" si="82"/>
        <v>0.64013946447991787</v>
      </c>
      <c r="AL96" s="116">
        <f t="shared" si="82"/>
        <v>0.79395751250094548</v>
      </c>
      <c r="AM96" s="116">
        <f t="shared" si="82"/>
        <v>0.61702878913376713</v>
      </c>
      <c r="AN96" s="116">
        <f t="shared" si="82"/>
        <v>0.51488152101808415</v>
      </c>
      <c r="AO96" s="116">
        <f t="shared" ref="AO96:AS96" si="83">AO91/AK91-1</f>
        <v>0.46020682846665051</v>
      </c>
      <c r="AP96" s="116">
        <f t="shared" si="83"/>
        <v>0.36523375482011589</v>
      </c>
      <c r="AQ96" s="116">
        <f t="shared" si="83"/>
        <v>0.42909417822743179</v>
      </c>
      <c r="AR96" s="116">
        <f t="shared" si="83"/>
        <v>0.41437594782587417</v>
      </c>
      <c r="AS96" s="116">
        <f t="shared" si="83"/>
        <v>0.36418860615197324</v>
      </c>
      <c r="AT96" s="116">
        <f t="shared" ref="AT96:BC96" si="84">AT91/AP91-1</f>
        <v>0.27154948130142564</v>
      </c>
      <c r="AU96" s="116">
        <f t="shared" si="84"/>
        <v>0.31838774949345683</v>
      </c>
      <c r="AV96" s="116">
        <f t="shared" si="84"/>
        <v>0.31632881997423712</v>
      </c>
      <c r="AW96" s="116">
        <f t="shared" si="84"/>
        <v>0.31222403117902808</v>
      </c>
      <c r="AX96" s="116">
        <f t="shared" si="84"/>
        <v>0.33110237584086355</v>
      </c>
      <c r="AY96" s="116">
        <f t="shared" si="84"/>
        <v>0.29876256770040865</v>
      </c>
      <c r="AZ96" s="116">
        <f t="shared" si="84"/>
        <v>0.33106546629287292</v>
      </c>
      <c r="BA96" s="116">
        <f t="shared" si="84"/>
        <v>0.36588607246238869</v>
      </c>
      <c r="BB96" s="116">
        <f t="shared" si="84"/>
        <v>-0.99867334146782238</v>
      </c>
      <c r="BC96" s="116">
        <f t="shared" si="84"/>
        <v>-0.9985895147914553</v>
      </c>
      <c r="BD96" s="2"/>
      <c r="BE96" s="2"/>
    </row>
    <row r="97" spans="1:57">
      <c r="A97" s="2" t="s">
        <v>580</v>
      </c>
      <c r="B97" s="85"/>
      <c r="C97" s="114"/>
      <c r="D97" s="114"/>
      <c r="E97" s="114"/>
      <c r="F97" s="114"/>
      <c r="G97" s="238"/>
      <c r="H97" s="238"/>
      <c r="I97" s="238"/>
      <c r="J97" s="238"/>
      <c r="K97" s="238"/>
      <c r="L97" s="238"/>
      <c r="M97" s="238"/>
      <c r="N97" s="238"/>
      <c r="O97" s="238"/>
      <c r="P97" s="238"/>
      <c r="Q97" s="238"/>
      <c r="R97" s="238">
        <f t="shared" ref="R97:W98" si="85">R33/N33-1</f>
        <v>0.55587148245128382</v>
      </c>
      <c r="S97" s="238">
        <f t="shared" si="85"/>
        <v>0.59262103771130548</v>
      </c>
      <c r="T97" s="238">
        <f t="shared" si="85"/>
        <v>0.56671082339881451</v>
      </c>
      <c r="U97" s="238">
        <f t="shared" si="85"/>
        <v>0.58385177949663047</v>
      </c>
      <c r="V97" s="172">
        <f t="shared" si="85"/>
        <v>0.6435094205350913</v>
      </c>
      <c r="W97" s="172">
        <f t="shared" si="85"/>
        <v>0.66136502687186294</v>
      </c>
      <c r="X97" s="115"/>
      <c r="Y97" s="115"/>
      <c r="Z97" s="115"/>
      <c r="AA97" s="115"/>
      <c r="AB97" s="115">
        <f t="shared" ref="AB97:AG97" si="86">AB33/X33-1</f>
        <v>0.48748711414137191</v>
      </c>
      <c r="AC97" s="115">
        <f t="shared" si="86"/>
        <v>0.30134278121333602</v>
      </c>
      <c r="AD97" s="115">
        <f t="shared" si="86"/>
        <v>0.19288636490572331</v>
      </c>
      <c r="AE97" s="116">
        <f t="shared" si="86"/>
        <v>0.11947498239754428</v>
      </c>
      <c r="AF97" s="116">
        <f t="shared" si="86"/>
        <v>0.25123593388018195</v>
      </c>
      <c r="AG97" s="116">
        <f t="shared" si="86"/>
        <v>0.42778221286859974</v>
      </c>
      <c r="AH97" s="116">
        <f t="shared" ref="AH97:AN97" si="87">AH33/AD33-1</f>
        <v>0.54078515060574994</v>
      </c>
      <c r="AI97" s="116">
        <f t="shared" si="87"/>
        <v>0.57022069559066746</v>
      </c>
      <c r="AJ97" s="116">
        <f t="shared" si="87"/>
        <v>0.57580743774768273</v>
      </c>
      <c r="AK97" s="116">
        <f t="shared" si="87"/>
        <v>0.56008995680323315</v>
      </c>
      <c r="AL97" s="116">
        <f t="shared" si="87"/>
        <v>0.68177458157039905</v>
      </c>
      <c r="AM97" s="116">
        <f t="shared" si="87"/>
        <v>0.47353869947925675</v>
      </c>
      <c r="AN97" s="116">
        <f t="shared" si="87"/>
        <v>0.3489745842755585</v>
      </c>
      <c r="AO97" s="116">
        <f t="shared" ref="AO97:AS97" si="88">AO33/AK33-1</f>
        <v>0.34986481833910976</v>
      </c>
      <c r="AP97" s="116">
        <f t="shared" si="88"/>
        <v>0.26671113001120483</v>
      </c>
      <c r="AQ97" s="116">
        <f t="shared" si="88"/>
        <v>0.34133141614892737</v>
      </c>
      <c r="AR97" s="116">
        <f t="shared" si="88"/>
        <v>0.35169394024715905</v>
      </c>
      <c r="AS97" s="116">
        <f t="shared" si="88"/>
        <v>0.28296911128518532</v>
      </c>
      <c r="AT97" s="116">
        <f t="shared" ref="AT97:BC97" si="89">AT33/AP33-1</f>
        <v>0.21213677576604884</v>
      </c>
      <c r="AU97" s="116">
        <f t="shared" si="89"/>
        <v>0.30312983171690422</v>
      </c>
      <c r="AV97" s="116">
        <f t="shared" si="89"/>
        <v>0.29125774803118332</v>
      </c>
      <c r="AW97" s="116">
        <f t="shared" si="89"/>
        <v>0.23599017318768101</v>
      </c>
      <c r="AX97" s="116">
        <f t="shared" si="89"/>
        <v>0.22989006458338368</v>
      </c>
      <c r="AY97" s="116">
        <f t="shared" si="89"/>
        <v>0.16074849998480079</v>
      </c>
      <c r="AZ97" s="116">
        <f t="shared" si="89"/>
        <v>0.19002348426932869</v>
      </c>
      <c r="BA97" s="116">
        <f t="shared" si="89"/>
        <v>0.24908636444207244</v>
      </c>
      <c r="BB97" s="116">
        <f t="shared" si="89"/>
        <v>0.25083700432322464</v>
      </c>
      <c r="BC97" s="116">
        <f t="shared" si="89"/>
        <v>0.36471514788487425</v>
      </c>
      <c r="BD97" s="2"/>
      <c r="BE97" s="2"/>
    </row>
    <row r="98" spans="1:57">
      <c r="A98" s="2" t="s">
        <v>434</v>
      </c>
      <c r="B98" s="85"/>
      <c r="C98" s="114"/>
      <c r="D98" s="114"/>
      <c r="E98" s="114"/>
      <c r="F98" s="114"/>
      <c r="G98" s="238"/>
      <c r="H98" s="238"/>
      <c r="I98" s="238"/>
      <c r="J98" s="238"/>
      <c r="K98" s="238"/>
      <c r="L98" s="238"/>
      <c r="M98" s="238"/>
      <c r="N98" s="238"/>
      <c r="O98" s="238"/>
      <c r="P98" s="238"/>
      <c r="Q98" s="238"/>
      <c r="R98" s="238">
        <f t="shared" si="85"/>
        <v>-0.29638558874704346</v>
      </c>
      <c r="S98" s="238">
        <f t="shared" si="85"/>
        <v>-0.31244115329779754</v>
      </c>
      <c r="T98" s="238">
        <f t="shared" si="85"/>
        <v>-0.41435002911957164</v>
      </c>
      <c r="U98" s="238">
        <f t="shared" si="85"/>
        <v>-0.39810126857604355</v>
      </c>
      <c r="V98" s="172">
        <f t="shared" si="85"/>
        <v>-0.51509124249092508</v>
      </c>
      <c r="W98" s="172">
        <f t="shared" si="85"/>
        <v>-0.56395385870674231</v>
      </c>
      <c r="X98" s="109"/>
      <c r="Y98" s="109"/>
      <c r="Z98" s="109"/>
      <c r="AA98" s="109"/>
      <c r="AB98" s="109"/>
      <c r="AC98" s="109"/>
      <c r="AD98" s="109"/>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5"/>
      <c r="BE98" s="14"/>
    </row>
    <row r="99" spans="1:57">
      <c r="A99" s="2" t="s">
        <v>435</v>
      </c>
      <c r="B99" s="85"/>
      <c r="C99" s="114"/>
      <c r="D99" s="114"/>
      <c r="E99" s="114"/>
      <c r="F99" s="114"/>
      <c r="G99" s="238"/>
      <c r="H99" s="238"/>
      <c r="I99" s="238"/>
      <c r="J99" s="238"/>
      <c r="K99" s="238"/>
      <c r="L99" s="238"/>
      <c r="M99" s="238"/>
      <c r="N99" s="238"/>
      <c r="O99" s="238">
        <f t="shared" ref="O99:W99" si="90">O34/N34-1</f>
        <v>-7.287217851064054E-2</v>
      </c>
      <c r="P99" s="238">
        <f t="shared" si="90"/>
        <v>-9.6331139730771898E-2</v>
      </c>
      <c r="Q99" s="238">
        <f t="shared" si="90"/>
        <v>-8.7313768673354497E-2</v>
      </c>
      <c r="R99" s="238">
        <f t="shared" si="90"/>
        <v>-7.9837995475420032E-2</v>
      </c>
      <c r="S99" s="238">
        <f t="shared" si="90"/>
        <v>-9.4028028002431263E-2</v>
      </c>
      <c r="T99" s="238">
        <f t="shared" si="90"/>
        <v>-0.23027149713710737</v>
      </c>
      <c r="U99" s="238">
        <f t="shared" si="90"/>
        <v>-6.199144175185356E-2</v>
      </c>
      <c r="V99" s="172">
        <f t="shared" si="90"/>
        <v>-0.2586882293878936</v>
      </c>
      <c r="W99" s="172">
        <f t="shared" si="90"/>
        <v>-0.18531976089957491</v>
      </c>
      <c r="X99" s="109"/>
      <c r="Y99" s="109"/>
      <c r="Z99" s="109"/>
      <c r="AA99" s="109"/>
      <c r="AB99" s="109"/>
      <c r="AC99" s="109"/>
      <c r="AD99" s="109"/>
      <c r="AE99" s="110"/>
      <c r="AF99" s="110"/>
      <c r="AG99" s="110"/>
      <c r="AH99" s="110"/>
      <c r="AI99" s="110"/>
      <c r="AJ99" s="110"/>
      <c r="AK99" s="110"/>
      <c r="AL99" s="110"/>
      <c r="AM99" s="110"/>
      <c r="AN99" s="110"/>
      <c r="AO99" s="110"/>
      <c r="AP99" s="110"/>
      <c r="AQ99" s="110"/>
      <c r="AR99" s="110"/>
      <c r="AS99" s="110"/>
      <c r="AT99" s="110"/>
      <c r="AU99" s="110"/>
      <c r="AV99" s="110"/>
      <c r="AW99" s="110"/>
      <c r="AX99" s="110"/>
      <c r="AY99" s="110"/>
      <c r="AZ99" s="110"/>
      <c r="BA99" s="110"/>
      <c r="BB99" s="110"/>
      <c r="BC99" s="110"/>
      <c r="BD99" s="15"/>
      <c r="BE99" s="14"/>
    </row>
    <row r="100" spans="1:57">
      <c r="A100" s="2"/>
      <c r="B100" s="85"/>
      <c r="C100" s="114"/>
      <c r="D100" s="114"/>
      <c r="E100" s="114"/>
      <c r="F100" s="114"/>
      <c r="G100" s="238"/>
      <c r="H100" s="238"/>
      <c r="I100" s="238"/>
      <c r="J100" s="238"/>
      <c r="K100" s="238"/>
      <c r="L100" s="238"/>
      <c r="M100" s="238"/>
      <c r="N100" s="238"/>
      <c r="O100" s="238"/>
      <c r="P100" s="238"/>
      <c r="Q100" s="238"/>
      <c r="R100" s="238"/>
      <c r="S100" s="238"/>
      <c r="T100" s="238"/>
      <c r="U100" s="238"/>
      <c r="V100" s="172"/>
      <c r="W100" s="172"/>
      <c r="X100" s="109"/>
      <c r="Y100" s="109"/>
      <c r="Z100" s="109"/>
      <c r="AA100" s="109"/>
      <c r="AB100" s="109"/>
      <c r="AC100" s="109"/>
      <c r="AD100" s="109"/>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2"/>
      <c r="BE100" s="2"/>
    </row>
    <row r="101" spans="1:57">
      <c r="A101" s="2" t="s">
        <v>439</v>
      </c>
      <c r="B101" s="85"/>
      <c r="C101" s="85"/>
      <c r="D101" s="85"/>
      <c r="E101" s="85"/>
      <c r="F101" s="85"/>
      <c r="G101" s="237"/>
      <c r="H101" s="237"/>
      <c r="I101" s="237"/>
      <c r="J101" s="237"/>
      <c r="K101" s="237"/>
      <c r="L101" s="237"/>
      <c r="M101" s="237"/>
      <c r="N101" s="237"/>
      <c r="O101" s="237"/>
      <c r="P101" s="237"/>
      <c r="Q101" s="237"/>
      <c r="R101" s="238">
        <f>R93/N93-1</f>
        <v>1.3590294314651223</v>
      </c>
      <c r="S101" s="238">
        <f t="shared" ref="S101:W101" si="91">S93/O93-1</f>
        <v>0.549615555559686</v>
      </c>
      <c r="T101" s="238">
        <f t="shared" si="91"/>
        <v>-4.9877171044606206E-2</v>
      </c>
      <c r="U101" s="238">
        <f t="shared" si="91"/>
        <v>0.11895218800087326</v>
      </c>
      <c r="V101" s="238">
        <f t="shared" si="91"/>
        <v>7.3410465432675709E-2</v>
      </c>
      <c r="W101" s="238">
        <f t="shared" si="91"/>
        <v>-0.18407554278004212</v>
      </c>
      <c r="X101" s="180"/>
      <c r="Y101" s="180"/>
      <c r="Z101" s="180"/>
      <c r="AA101" s="169"/>
      <c r="AB101" s="169"/>
      <c r="AC101" s="169"/>
      <c r="AD101" s="169"/>
      <c r="AE101" s="169"/>
      <c r="AF101" s="169"/>
      <c r="AG101" s="169"/>
      <c r="AH101" s="169"/>
      <c r="AI101" s="169"/>
      <c r="AJ101" s="169"/>
      <c r="AK101" s="169"/>
      <c r="AL101" s="169"/>
      <c r="AM101" s="169"/>
      <c r="AN101" s="169"/>
      <c r="AO101" s="169"/>
      <c r="AP101" s="169"/>
      <c r="AQ101" s="169"/>
      <c r="AR101" s="169"/>
      <c r="AS101" s="169"/>
      <c r="AT101" s="169"/>
      <c r="AU101" s="169"/>
      <c r="AV101" s="169"/>
      <c r="AW101" s="169"/>
      <c r="AX101" s="169"/>
      <c r="AY101" s="169"/>
      <c r="AZ101" s="169"/>
      <c r="BA101" s="169"/>
      <c r="BB101" s="169"/>
      <c r="BC101" s="169"/>
      <c r="BD101" s="15"/>
      <c r="BE101" s="14"/>
    </row>
    <row r="102" spans="1:57">
      <c r="A102" s="2"/>
      <c r="B102" s="85"/>
      <c r="C102" s="85"/>
      <c r="D102" s="85"/>
      <c r="E102" s="85"/>
      <c r="F102" s="85"/>
      <c r="G102" s="85"/>
      <c r="H102" s="85"/>
      <c r="I102" s="85"/>
      <c r="J102" s="85"/>
      <c r="K102" s="85"/>
      <c r="L102" s="85"/>
      <c r="M102" s="85"/>
      <c r="N102" s="85"/>
      <c r="O102" s="85"/>
      <c r="P102" s="85"/>
      <c r="Q102" s="85"/>
      <c r="R102" s="85"/>
      <c r="S102" s="85"/>
      <c r="T102" s="85"/>
      <c r="U102" s="85"/>
      <c r="V102" s="85"/>
      <c r="W102" s="85"/>
      <c r="X102" s="85"/>
      <c r="Y102" s="85"/>
      <c r="Z102" s="85"/>
      <c r="AA102" s="85"/>
      <c r="AB102" s="85"/>
      <c r="AC102" s="85"/>
      <c r="AD102" s="85"/>
      <c r="AE102" s="111"/>
      <c r="AF102" s="111"/>
      <c r="AG102" s="111"/>
      <c r="AH102" s="111"/>
      <c r="AI102" s="111"/>
      <c r="AJ102" s="111"/>
      <c r="AK102" s="111"/>
      <c r="AL102" s="111"/>
      <c r="AM102" s="111"/>
      <c r="AN102" s="111"/>
      <c r="AO102" s="111"/>
      <c r="AP102" s="111"/>
      <c r="AQ102" s="111"/>
      <c r="AR102" s="111"/>
      <c r="AS102" s="111"/>
      <c r="AT102" s="111"/>
      <c r="AU102" s="111"/>
      <c r="AV102" s="111"/>
      <c r="AW102" s="111"/>
      <c r="AX102" s="111"/>
      <c r="AY102" s="111"/>
      <c r="AZ102" s="111"/>
      <c r="BA102" s="111"/>
      <c r="BB102" s="111"/>
      <c r="BC102" s="111"/>
      <c r="BD102" s="2"/>
      <c r="BE102" s="2"/>
    </row>
    <row r="103" spans="1:57">
      <c r="A103" s="2"/>
      <c r="B103" s="85"/>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111"/>
      <c r="AF103" s="111"/>
      <c r="AG103" s="111"/>
      <c r="AH103" s="111"/>
      <c r="AI103" s="111"/>
      <c r="AJ103" s="111"/>
      <c r="AK103" s="111"/>
      <c r="AL103" s="111"/>
      <c r="AM103" s="111"/>
      <c r="AN103" s="111"/>
      <c r="AO103" s="111"/>
      <c r="AP103" s="111"/>
      <c r="AQ103" s="111"/>
      <c r="AR103" s="111"/>
      <c r="AS103" s="111"/>
      <c r="AT103" s="111"/>
      <c r="AU103" s="111"/>
      <c r="AV103" s="111"/>
      <c r="AW103" s="111"/>
      <c r="AX103" s="111"/>
      <c r="AY103" s="111"/>
      <c r="AZ103" s="111"/>
      <c r="BA103" s="111"/>
      <c r="BB103" s="111"/>
      <c r="BC103" s="111"/>
      <c r="BD103" s="2"/>
      <c r="BE103" s="2"/>
    </row>
    <row r="104" spans="1:57">
      <c r="A104" s="2"/>
      <c r="B104" s="85"/>
      <c r="C104" s="85"/>
      <c r="D104" s="85"/>
      <c r="E104" s="85"/>
      <c r="F104" s="85"/>
      <c r="G104" s="85"/>
      <c r="H104" s="85"/>
      <c r="I104" s="85"/>
      <c r="J104" s="85"/>
      <c r="K104" s="85"/>
      <c r="L104" s="85"/>
      <c r="M104" s="85"/>
      <c r="N104" s="85"/>
      <c r="O104" s="85"/>
      <c r="P104" s="85"/>
      <c r="Q104" s="85"/>
      <c r="R104" s="85"/>
      <c r="S104" s="85"/>
      <c r="T104" s="85"/>
      <c r="U104" s="85"/>
      <c r="V104" s="85"/>
      <c r="W104" s="85"/>
      <c r="X104" s="85"/>
      <c r="Y104" s="85"/>
      <c r="Z104" s="85"/>
      <c r="AA104" s="85"/>
      <c r="AB104" s="85"/>
      <c r="AC104" s="85"/>
      <c r="AD104" s="85"/>
      <c r="AE104" s="111"/>
      <c r="AF104" s="111"/>
      <c r="AG104" s="111"/>
      <c r="AH104" s="111"/>
      <c r="AI104" s="111"/>
      <c r="AJ104" s="111"/>
      <c r="AK104" s="111"/>
      <c r="AL104" s="111"/>
      <c r="AM104" s="111"/>
      <c r="AN104" s="111"/>
      <c r="AO104" s="111"/>
      <c r="AP104" s="111"/>
      <c r="AQ104" s="111"/>
      <c r="AR104" s="111"/>
      <c r="AS104" s="111"/>
      <c r="AT104" s="111"/>
      <c r="AU104" s="111"/>
      <c r="AV104" s="111"/>
      <c r="AW104" s="111"/>
      <c r="AX104" s="111"/>
      <c r="AY104" s="111"/>
      <c r="AZ104" s="111"/>
      <c r="BA104" s="111"/>
      <c r="BB104" s="111"/>
      <c r="BC104" s="111"/>
      <c r="BD104" s="2"/>
      <c r="BE104" s="2"/>
    </row>
    <row r="105" spans="1:57">
      <c r="A105" s="2"/>
      <c r="B105" s="85"/>
      <c r="C105" s="85"/>
      <c r="D105" s="85"/>
      <c r="E105" s="85"/>
      <c r="F105" s="85"/>
      <c r="G105" s="85"/>
      <c r="H105" s="85"/>
      <c r="I105" s="85"/>
      <c r="J105" s="85"/>
      <c r="K105" s="85"/>
      <c r="L105" s="85"/>
      <c r="M105" s="85"/>
      <c r="N105" s="85"/>
      <c r="O105" s="85"/>
      <c r="P105" s="85"/>
      <c r="Q105" s="85"/>
      <c r="R105" s="85"/>
      <c r="S105" s="85"/>
      <c r="T105" s="85"/>
      <c r="U105" s="85"/>
      <c r="V105" s="85"/>
      <c r="W105" s="85"/>
      <c r="X105" s="85"/>
      <c r="Y105" s="85"/>
      <c r="Z105" s="85"/>
      <c r="AA105" s="85"/>
      <c r="AB105" s="85"/>
      <c r="AC105" s="85"/>
      <c r="AD105" s="85"/>
      <c r="AE105" s="111"/>
      <c r="AF105" s="111"/>
      <c r="AG105" s="111"/>
      <c r="AH105" s="111"/>
      <c r="AI105" s="111"/>
      <c r="AJ105" s="111"/>
      <c r="AK105" s="111"/>
      <c r="AL105" s="111"/>
      <c r="AM105" s="111"/>
      <c r="AN105" s="111"/>
      <c r="AO105" s="111"/>
      <c r="AP105" s="111"/>
      <c r="AQ105" s="111"/>
      <c r="AR105" s="111"/>
      <c r="AS105" s="111"/>
      <c r="AT105" s="111"/>
      <c r="AU105" s="111"/>
      <c r="AV105" s="111"/>
      <c r="AW105" s="111"/>
      <c r="AX105" s="111"/>
      <c r="AY105" s="111"/>
      <c r="AZ105" s="111"/>
      <c r="BA105" s="111"/>
      <c r="BB105" s="111"/>
      <c r="BC105" s="111"/>
      <c r="BD105" s="2"/>
      <c r="BE105" s="2"/>
    </row>
    <row r="106" spans="1:57">
      <c r="A106" s="2"/>
      <c r="B106" s="85"/>
      <c r="C106" s="85"/>
      <c r="D106" s="85"/>
      <c r="E106" s="85"/>
      <c r="F106" s="85"/>
      <c r="G106" s="85"/>
      <c r="H106" s="85"/>
      <c r="I106" s="85"/>
      <c r="J106" s="85"/>
      <c r="K106" s="85"/>
      <c r="L106" s="85"/>
      <c r="M106" s="85"/>
      <c r="N106" s="85"/>
      <c r="O106" s="85"/>
      <c r="P106" s="85"/>
      <c r="Q106" s="85"/>
      <c r="R106" s="85"/>
      <c r="S106" s="85"/>
      <c r="T106" s="85"/>
      <c r="U106" s="85"/>
      <c r="V106" s="85"/>
      <c r="W106" s="85"/>
      <c r="X106" s="85"/>
      <c r="Y106" s="85"/>
      <c r="Z106" s="85"/>
      <c r="AA106" s="85"/>
      <c r="AB106" s="85"/>
      <c r="AC106" s="85"/>
      <c r="AD106" s="85"/>
      <c r="AE106" s="111"/>
      <c r="AF106" s="111"/>
      <c r="AG106" s="111"/>
      <c r="AH106" s="111"/>
      <c r="AI106" s="111"/>
      <c r="AJ106" s="111"/>
      <c r="AK106" s="111"/>
      <c r="AL106" s="111"/>
      <c r="AM106" s="111"/>
      <c r="AN106" s="111"/>
      <c r="AO106" s="111"/>
      <c r="AP106" s="111"/>
      <c r="AQ106" s="111"/>
      <c r="AR106" s="111"/>
      <c r="AS106" s="111"/>
      <c r="AT106" s="111"/>
      <c r="AU106" s="111"/>
      <c r="AV106" s="111"/>
      <c r="AW106" s="111"/>
      <c r="AX106" s="111"/>
      <c r="AY106" s="111"/>
      <c r="AZ106" s="111"/>
      <c r="BA106" s="111"/>
      <c r="BB106" s="111"/>
      <c r="BC106" s="111"/>
      <c r="BD106" s="2"/>
      <c r="BE106" s="2"/>
    </row>
    <row r="107" spans="1:57">
      <c r="A107" s="2"/>
      <c r="B107" s="85"/>
      <c r="C107" s="85"/>
      <c r="D107" s="85"/>
      <c r="E107" s="85"/>
      <c r="F107" s="85"/>
      <c r="G107" s="85"/>
      <c r="H107" s="85"/>
      <c r="I107" s="85"/>
      <c r="J107" s="85"/>
      <c r="K107" s="85"/>
      <c r="L107" s="85"/>
      <c r="M107" s="85"/>
      <c r="N107" s="85"/>
      <c r="O107" s="85"/>
      <c r="P107" s="85"/>
      <c r="Q107" s="85"/>
      <c r="R107" s="85"/>
      <c r="S107" s="85"/>
      <c r="T107" s="85"/>
      <c r="U107" s="85"/>
      <c r="V107" s="85"/>
      <c r="W107" s="85"/>
      <c r="X107" s="85"/>
      <c r="Y107" s="85"/>
      <c r="Z107" s="85"/>
      <c r="AA107" s="85"/>
      <c r="AB107" s="85"/>
      <c r="AC107" s="85"/>
      <c r="AD107" s="85"/>
      <c r="AE107" s="111"/>
      <c r="AF107" s="111"/>
      <c r="AG107" s="111"/>
      <c r="AH107" s="111"/>
      <c r="AI107" s="111"/>
      <c r="AJ107" s="111"/>
      <c r="AK107" s="111"/>
      <c r="AL107" s="111"/>
      <c r="AM107" s="111"/>
      <c r="AN107" s="111"/>
      <c r="AO107" s="111"/>
      <c r="AP107" s="111"/>
      <c r="AQ107" s="111"/>
      <c r="AR107" s="111"/>
      <c r="AS107" s="111"/>
      <c r="AT107" s="111"/>
      <c r="AU107" s="111"/>
      <c r="AV107" s="111"/>
      <c r="AW107" s="111"/>
      <c r="AX107" s="111"/>
      <c r="AY107" s="111"/>
      <c r="AZ107" s="111"/>
      <c r="BA107" s="111"/>
      <c r="BB107" s="111"/>
      <c r="BC107" s="111"/>
      <c r="BD107" s="2"/>
      <c r="BE107" s="2"/>
    </row>
    <row r="108" spans="1:57">
      <c r="A108" s="2"/>
      <c r="B108" s="85"/>
      <c r="C108" s="85"/>
      <c r="D108" s="85"/>
      <c r="E108" s="85"/>
      <c r="F108" s="85"/>
      <c r="G108" s="85"/>
      <c r="H108" s="85"/>
      <c r="I108" s="85"/>
      <c r="J108" s="85"/>
      <c r="K108" s="85"/>
      <c r="L108" s="85"/>
      <c r="M108" s="85"/>
      <c r="N108" s="85"/>
      <c r="O108" s="85"/>
      <c r="P108" s="85"/>
      <c r="Q108" s="85"/>
      <c r="R108" s="85"/>
      <c r="S108" s="85"/>
      <c r="T108" s="85"/>
      <c r="U108" s="85"/>
      <c r="V108" s="85"/>
      <c r="W108" s="85"/>
      <c r="X108" s="85"/>
      <c r="Y108" s="85"/>
      <c r="Z108" s="85"/>
      <c r="AA108" s="85"/>
      <c r="AB108" s="85"/>
      <c r="AC108" s="85"/>
      <c r="AD108" s="85"/>
      <c r="AE108" s="111"/>
      <c r="AF108" s="111"/>
      <c r="AG108" s="111"/>
      <c r="AH108" s="111"/>
      <c r="AI108" s="111"/>
      <c r="AJ108" s="111"/>
      <c r="AK108" s="111"/>
      <c r="AL108" s="111"/>
      <c r="AM108" s="111"/>
      <c r="AN108" s="111"/>
      <c r="AO108" s="111"/>
      <c r="AP108" s="111"/>
      <c r="AQ108" s="111"/>
      <c r="AR108" s="111"/>
      <c r="AS108" s="111"/>
      <c r="AT108" s="111"/>
      <c r="AU108" s="111"/>
      <c r="AV108" s="111"/>
      <c r="AW108" s="111"/>
      <c r="AX108" s="111"/>
      <c r="AY108" s="111"/>
      <c r="AZ108" s="111"/>
      <c r="BA108" s="111"/>
      <c r="BB108" s="111"/>
      <c r="BC108" s="111"/>
      <c r="BD108" s="2"/>
      <c r="BE108" s="2"/>
    </row>
    <row r="109" spans="1:57">
      <c r="A109" s="2"/>
      <c r="B109" s="85"/>
      <c r="C109" s="85"/>
      <c r="D109" s="85"/>
      <c r="E109" s="85"/>
      <c r="F109" s="85"/>
      <c r="G109" s="85"/>
      <c r="H109" s="85"/>
      <c r="I109" s="85"/>
      <c r="J109" s="85"/>
      <c r="K109" s="85"/>
      <c r="L109" s="85"/>
      <c r="M109" s="85"/>
      <c r="N109" s="85"/>
      <c r="O109" s="85"/>
      <c r="P109" s="85"/>
      <c r="Q109" s="85"/>
      <c r="R109" s="85"/>
      <c r="S109" s="85"/>
      <c r="T109" s="85"/>
      <c r="U109" s="85"/>
      <c r="V109" s="85"/>
      <c r="W109" s="85"/>
      <c r="X109" s="85"/>
      <c r="Y109" s="85"/>
      <c r="Z109" s="85"/>
      <c r="AA109" s="85"/>
      <c r="AB109" s="85"/>
      <c r="AC109" s="85"/>
      <c r="AD109" s="85"/>
      <c r="AE109" s="111"/>
      <c r="AF109" s="111"/>
      <c r="AG109" s="111"/>
      <c r="AH109" s="111"/>
      <c r="AI109" s="111"/>
      <c r="AJ109" s="111"/>
      <c r="AK109" s="111"/>
      <c r="AL109" s="111"/>
      <c r="AM109" s="111"/>
      <c r="AN109" s="111"/>
      <c r="AO109" s="111"/>
      <c r="AP109" s="111"/>
      <c r="AQ109" s="111"/>
      <c r="AR109" s="111"/>
      <c r="AS109" s="111"/>
      <c r="AT109" s="111"/>
      <c r="AU109" s="111"/>
      <c r="AV109" s="111"/>
      <c r="AW109" s="111"/>
      <c r="AX109" s="111"/>
      <c r="AY109" s="111"/>
      <c r="AZ109" s="111"/>
      <c r="BA109" s="111"/>
      <c r="BB109" s="111"/>
      <c r="BC109" s="111"/>
      <c r="BD109" s="2"/>
      <c r="BE109" s="2"/>
    </row>
    <row r="110" spans="1:57">
      <c r="A110" s="2"/>
      <c r="B110" s="85"/>
      <c r="C110" s="85"/>
      <c r="D110" s="85"/>
      <c r="E110" s="85"/>
      <c r="F110" s="85"/>
      <c r="G110" s="85"/>
      <c r="H110" s="85"/>
      <c r="I110" s="85"/>
      <c r="J110" s="85"/>
      <c r="K110" s="85"/>
      <c r="L110" s="85"/>
      <c r="M110" s="85"/>
      <c r="N110" s="85"/>
      <c r="O110" s="85"/>
      <c r="P110" s="85"/>
      <c r="Q110" s="85"/>
      <c r="R110" s="85"/>
      <c r="S110" s="85"/>
      <c r="T110" s="85"/>
      <c r="U110" s="85"/>
      <c r="V110" s="85"/>
      <c r="W110" s="85"/>
      <c r="X110" s="85"/>
      <c r="Y110" s="85"/>
      <c r="Z110" s="85"/>
      <c r="AA110" s="85"/>
      <c r="AB110" s="85"/>
      <c r="AC110" s="85"/>
      <c r="AD110" s="85"/>
      <c r="AE110" s="111"/>
      <c r="AF110" s="111"/>
      <c r="AG110" s="111"/>
      <c r="AH110" s="111"/>
      <c r="AI110" s="111"/>
      <c r="AJ110" s="111"/>
      <c r="AK110" s="111"/>
      <c r="AL110" s="111"/>
      <c r="AM110" s="111"/>
      <c r="AN110" s="111"/>
      <c r="AO110" s="111"/>
      <c r="AP110" s="111"/>
      <c r="AQ110" s="111"/>
      <c r="AR110" s="111"/>
      <c r="AS110" s="111"/>
      <c r="AT110" s="111"/>
      <c r="AU110" s="111"/>
      <c r="AV110" s="111"/>
      <c r="AW110" s="111"/>
      <c r="AX110" s="111"/>
      <c r="AY110" s="111"/>
      <c r="AZ110" s="111"/>
      <c r="BA110" s="111"/>
      <c r="BB110" s="111"/>
      <c r="BC110" s="111"/>
      <c r="BD110" s="2"/>
      <c r="BE110" s="2"/>
    </row>
    <row r="111" spans="1:57">
      <c r="A111" s="2"/>
      <c r="B111" s="85"/>
      <c r="C111" s="85"/>
      <c r="D111" s="85"/>
      <c r="E111" s="85"/>
      <c r="F111" s="85"/>
      <c r="G111" s="85"/>
      <c r="H111" s="85"/>
      <c r="I111" s="85"/>
      <c r="J111" s="85"/>
      <c r="K111" s="85"/>
      <c r="L111" s="85"/>
      <c r="M111" s="85"/>
      <c r="N111" s="85"/>
      <c r="O111" s="85"/>
      <c r="P111" s="85"/>
      <c r="Q111" s="85"/>
      <c r="R111" s="85"/>
      <c r="S111" s="85"/>
      <c r="T111" s="85"/>
      <c r="U111" s="85"/>
      <c r="V111" s="85"/>
      <c r="W111" s="85"/>
      <c r="X111" s="85"/>
      <c r="Y111" s="85"/>
      <c r="Z111" s="85"/>
      <c r="AA111" s="85"/>
      <c r="AB111" s="85"/>
      <c r="AC111" s="85"/>
      <c r="AD111" s="85"/>
      <c r="AE111" s="111"/>
      <c r="AF111" s="111"/>
      <c r="AG111" s="111"/>
      <c r="AH111" s="111"/>
      <c r="AI111" s="111"/>
      <c r="AJ111" s="111"/>
      <c r="AK111" s="111"/>
      <c r="AL111" s="111"/>
      <c r="AM111" s="111"/>
      <c r="AN111" s="111"/>
      <c r="AO111" s="111"/>
      <c r="AP111" s="111"/>
      <c r="AQ111" s="111"/>
      <c r="AR111" s="111"/>
      <c r="AS111" s="111"/>
      <c r="AT111" s="111"/>
      <c r="AU111" s="111"/>
      <c r="AV111" s="111"/>
      <c r="AW111" s="111"/>
      <c r="AX111" s="111"/>
      <c r="AY111" s="111"/>
      <c r="AZ111" s="111"/>
      <c r="BA111" s="111"/>
      <c r="BB111" s="111"/>
      <c r="BC111" s="111"/>
      <c r="BD111" s="2"/>
      <c r="BE111" s="2"/>
    </row>
    <row r="112" spans="1:57">
      <c r="A112" s="2"/>
      <c r="B112" s="85"/>
      <c r="C112" s="85"/>
      <c r="D112" s="85"/>
      <c r="E112" s="85"/>
      <c r="F112" s="85"/>
      <c r="G112" s="85"/>
      <c r="H112" s="85"/>
      <c r="I112" s="85"/>
      <c r="J112" s="85"/>
      <c r="K112" s="85"/>
      <c r="L112" s="85"/>
      <c r="M112" s="85"/>
      <c r="N112" s="85"/>
      <c r="O112" s="85"/>
      <c r="P112" s="85"/>
      <c r="Q112" s="85"/>
      <c r="R112" s="85"/>
      <c r="S112" s="85"/>
      <c r="T112" s="85"/>
      <c r="U112" s="85"/>
      <c r="V112" s="85"/>
      <c r="W112" s="85"/>
      <c r="X112" s="85"/>
      <c r="Y112" s="85"/>
      <c r="Z112" s="85"/>
      <c r="AA112" s="85"/>
      <c r="AB112" s="85"/>
      <c r="AC112" s="85"/>
      <c r="AD112" s="85"/>
      <c r="AE112" s="111"/>
      <c r="AF112" s="111"/>
      <c r="AG112" s="111"/>
      <c r="AH112" s="111"/>
      <c r="AI112" s="111"/>
      <c r="AJ112" s="111"/>
      <c r="AK112" s="111"/>
      <c r="AL112" s="111"/>
      <c r="AM112" s="111"/>
      <c r="AN112" s="111"/>
      <c r="AO112" s="111"/>
      <c r="AP112" s="111"/>
      <c r="AQ112" s="111"/>
      <c r="AR112" s="111"/>
      <c r="AS112" s="111"/>
      <c r="AT112" s="111"/>
      <c r="AU112" s="111"/>
      <c r="AV112" s="111"/>
      <c r="AW112" s="111"/>
      <c r="AX112" s="111"/>
      <c r="AY112" s="111"/>
      <c r="AZ112" s="111"/>
      <c r="BA112" s="111"/>
      <c r="BB112" s="111"/>
      <c r="BC112" s="111"/>
      <c r="BD112" s="2"/>
      <c r="BE112" s="2"/>
    </row>
    <row r="113" spans="1:57">
      <c r="A113" s="2"/>
      <c r="B113" s="85"/>
      <c r="C113" s="85"/>
      <c r="D113" s="85"/>
      <c r="E113" s="85"/>
      <c r="F113" s="85"/>
      <c r="G113" s="85"/>
      <c r="H113" s="85"/>
      <c r="I113" s="85"/>
      <c r="J113" s="85"/>
      <c r="K113" s="85"/>
      <c r="L113" s="85"/>
      <c r="M113" s="85"/>
      <c r="N113" s="85"/>
      <c r="O113" s="85"/>
      <c r="P113" s="85"/>
      <c r="Q113" s="85"/>
      <c r="R113" s="85"/>
      <c r="S113" s="85"/>
      <c r="T113" s="85"/>
      <c r="U113" s="85"/>
      <c r="V113" s="85"/>
      <c r="W113" s="85"/>
      <c r="X113" s="85"/>
      <c r="Y113" s="85"/>
      <c r="Z113" s="85"/>
      <c r="AA113" s="85"/>
      <c r="AB113" s="85"/>
      <c r="AC113" s="85"/>
      <c r="AD113" s="85"/>
      <c r="AE113" s="111"/>
      <c r="AF113" s="111"/>
      <c r="AG113" s="111"/>
      <c r="AH113" s="111"/>
      <c r="AI113" s="111"/>
      <c r="AJ113" s="111"/>
      <c r="AK113" s="111"/>
      <c r="AL113" s="111"/>
      <c r="AM113" s="111"/>
      <c r="AN113" s="111"/>
      <c r="AO113" s="111"/>
      <c r="AP113" s="111"/>
      <c r="AQ113" s="111"/>
      <c r="AR113" s="111"/>
      <c r="AS113" s="111"/>
      <c r="AT113" s="111"/>
      <c r="AU113" s="111"/>
      <c r="AV113" s="111"/>
      <c r="AW113" s="111"/>
      <c r="AX113" s="111"/>
      <c r="AY113" s="111"/>
      <c r="AZ113" s="111"/>
      <c r="BA113" s="111"/>
      <c r="BB113" s="111"/>
      <c r="BC113" s="111"/>
      <c r="BD113" s="2"/>
      <c r="BE113" s="2"/>
    </row>
    <row r="114" spans="1:57">
      <c r="A114" s="2"/>
      <c r="B114" s="85"/>
      <c r="C114" s="85"/>
      <c r="D114" s="85"/>
      <c r="E114" s="85"/>
      <c r="F114" s="85"/>
      <c r="G114" s="85"/>
      <c r="H114" s="85"/>
      <c r="I114" s="85"/>
      <c r="J114" s="85"/>
      <c r="K114" s="85"/>
      <c r="L114" s="85"/>
      <c r="M114" s="85"/>
      <c r="N114" s="85"/>
      <c r="O114" s="85"/>
      <c r="P114" s="85"/>
      <c r="Q114" s="85"/>
      <c r="R114" s="85"/>
      <c r="S114" s="85"/>
      <c r="T114" s="85"/>
      <c r="U114" s="85"/>
      <c r="V114" s="85"/>
      <c r="W114" s="85"/>
      <c r="X114" s="85"/>
      <c r="Y114" s="85"/>
      <c r="Z114" s="85"/>
      <c r="AA114" s="85"/>
      <c r="AB114" s="85"/>
      <c r="AC114" s="85"/>
      <c r="AD114" s="85"/>
      <c r="AE114" s="111"/>
      <c r="AF114" s="111"/>
      <c r="AG114" s="111"/>
      <c r="AH114" s="111"/>
      <c r="AI114" s="111"/>
      <c r="AJ114" s="111"/>
      <c r="AK114" s="111"/>
      <c r="AL114" s="111"/>
      <c r="AM114" s="111"/>
      <c r="AN114" s="111"/>
      <c r="AO114" s="111"/>
      <c r="AP114" s="111"/>
      <c r="AQ114" s="111"/>
      <c r="AR114" s="111"/>
      <c r="AS114" s="111"/>
      <c r="AT114" s="111"/>
      <c r="AU114" s="111"/>
      <c r="AV114" s="111"/>
      <c r="AW114" s="111"/>
      <c r="AX114" s="111"/>
      <c r="AY114" s="111"/>
      <c r="AZ114" s="111"/>
      <c r="BA114" s="111"/>
      <c r="BB114" s="111"/>
      <c r="BC114" s="111"/>
      <c r="BD114" s="2"/>
      <c r="BE114" s="2"/>
    </row>
    <row r="115" spans="1:57">
      <c r="A115" s="2"/>
      <c r="B115" s="85"/>
      <c r="C115" s="85"/>
      <c r="D115" s="85"/>
      <c r="E115" s="85"/>
      <c r="F115" s="85"/>
      <c r="G115" s="85"/>
      <c r="H115" s="85"/>
      <c r="I115" s="85"/>
      <c r="J115" s="85"/>
      <c r="K115" s="85"/>
      <c r="L115" s="85"/>
      <c r="M115" s="85"/>
      <c r="N115" s="85"/>
      <c r="O115" s="85"/>
      <c r="P115" s="85"/>
      <c r="Q115" s="85"/>
      <c r="R115" s="85"/>
      <c r="S115" s="85"/>
      <c r="T115" s="85"/>
      <c r="U115" s="85"/>
      <c r="V115" s="85"/>
      <c r="W115" s="85"/>
      <c r="X115" s="85"/>
      <c r="Y115" s="85"/>
      <c r="Z115" s="85"/>
      <c r="AA115" s="85"/>
      <c r="AB115" s="85"/>
      <c r="AC115" s="85"/>
      <c r="AD115" s="85"/>
      <c r="AE115" s="111"/>
      <c r="AF115" s="111"/>
      <c r="AG115" s="111"/>
      <c r="AH115" s="111"/>
      <c r="AI115" s="111"/>
      <c r="AJ115" s="111"/>
      <c r="AK115" s="111"/>
      <c r="AL115" s="111"/>
      <c r="AM115" s="111"/>
      <c r="AN115" s="111"/>
      <c r="AO115" s="111"/>
      <c r="AP115" s="111"/>
      <c r="AQ115" s="111"/>
      <c r="AR115" s="111"/>
      <c r="AS115" s="111"/>
      <c r="AT115" s="111"/>
      <c r="AU115" s="111"/>
      <c r="AV115" s="111"/>
      <c r="AW115" s="111"/>
      <c r="AX115" s="111"/>
      <c r="AY115" s="111"/>
      <c r="AZ115" s="111"/>
      <c r="BA115" s="111"/>
      <c r="BB115" s="111"/>
      <c r="BC115" s="111"/>
      <c r="BD115" s="2"/>
      <c r="BE115" s="2"/>
    </row>
    <row r="116" spans="1:57">
      <c r="A116" s="2"/>
      <c r="B116" s="85"/>
      <c r="C116" s="85"/>
      <c r="D116" s="85"/>
      <c r="E116" s="85"/>
      <c r="F116" s="85"/>
      <c r="G116" s="85"/>
      <c r="H116" s="85"/>
      <c r="I116" s="85"/>
      <c r="J116" s="85"/>
      <c r="K116" s="85"/>
      <c r="L116" s="85"/>
      <c r="M116" s="85"/>
      <c r="N116" s="85"/>
      <c r="O116" s="85"/>
      <c r="P116" s="85"/>
      <c r="Q116" s="85"/>
      <c r="R116" s="85"/>
      <c r="S116" s="85"/>
      <c r="T116" s="85"/>
      <c r="U116" s="85"/>
      <c r="V116" s="85"/>
      <c r="W116" s="85"/>
      <c r="X116" s="85"/>
      <c r="Y116" s="85"/>
      <c r="Z116" s="85"/>
      <c r="AA116" s="85"/>
      <c r="AB116" s="85"/>
      <c r="AC116" s="85"/>
      <c r="AD116" s="85"/>
      <c r="AE116" s="111"/>
      <c r="AF116" s="111"/>
      <c r="AG116" s="111"/>
      <c r="AH116" s="111"/>
      <c r="AI116" s="111"/>
      <c r="AJ116" s="111"/>
      <c r="AK116" s="111"/>
      <c r="AL116" s="111"/>
      <c r="AM116" s="111"/>
      <c r="AN116" s="111"/>
      <c r="AO116" s="111"/>
      <c r="AP116" s="111"/>
      <c r="AQ116" s="111"/>
      <c r="AR116" s="111"/>
      <c r="AS116" s="111"/>
      <c r="AT116" s="111"/>
      <c r="AU116" s="111"/>
      <c r="AV116" s="111"/>
      <c r="AW116" s="111"/>
      <c r="AX116" s="111"/>
      <c r="AY116" s="111"/>
      <c r="AZ116" s="111"/>
      <c r="BA116" s="111"/>
      <c r="BB116" s="111"/>
      <c r="BC116" s="111"/>
      <c r="BD116" s="2"/>
      <c r="BE116" s="2"/>
    </row>
    <row r="117" spans="1:5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2"/>
      <c r="BE117" s="2"/>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ZC948"/>
  <sheetViews>
    <sheetView showGridLines="0" view="pageBreakPreview" zoomScale="60" zoomScaleNormal="70" workbookViewId="0">
      <selection activeCell="G3" sqref="G3"/>
    </sheetView>
  </sheetViews>
  <sheetFormatPr defaultRowHeight="15.35"/>
  <cols>
    <col min="1" max="1" width="12.234375" style="6" customWidth="1"/>
    <col min="2" max="5" width="9.234375" style="6"/>
    <col min="6" max="6" width="12.234375" style="6" customWidth="1"/>
    <col min="7" max="23" width="9.234375" style="6"/>
    <col min="24" max="24" width="9.234375" style="49"/>
    <col min="25" max="25" width="120.41015625" style="49" customWidth="1"/>
    <col min="26" max="26" width="182.76171875" style="49" customWidth="1"/>
    <col min="27" max="27" width="177" style="49" customWidth="1"/>
    <col min="28" max="48" width="10.76171875" style="49" customWidth="1"/>
    <col min="49" max="16227" width="9.234375" style="49"/>
    <col min="16228" max="16384" width="9.234375" style="6"/>
  </cols>
  <sheetData>
    <row r="1" spans="1:23">
      <c r="A1" s="1" t="s">
        <v>441</v>
      </c>
      <c r="B1" s="1" t="s">
        <v>442</v>
      </c>
      <c r="C1" s="1"/>
      <c r="D1" s="1"/>
      <c r="E1" s="27"/>
      <c r="F1" s="1" t="s">
        <v>739</v>
      </c>
      <c r="G1" s="1"/>
      <c r="H1" s="1"/>
      <c r="I1" s="1"/>
      <c r="J1" s="1"/>
      <c r="K1" s="1"/>
      <c r="L1" s="1"/>
      <c r="M1" s="1"/>
      <c r="N1" s="1"/>
      <c r="O1" s="1"/>
      <c r="P1" s="1"/>
      <c r="Q1" s="1"/>
      <c r="R1" s="1"/>
      <c r="S1" s="1"/>
      <c r="T1" s="1"/>
      <c r="U1" s="49"/>
      <c r="V1" s="49"/>
      <c r="W1" s="49"/>
    </row>
    <row r="2" spans="1:23">
      <c r="A2" s="50" t="s">
        <v>443</v>
      </c>
      <c r="B2" s="49" t="s">
        <v>455</v>
      </c>
      <c r="C2" s="49"/>
      <c r="D2" s="49"/>
      <c r="E2" s="49"/>
      <c r="F2" s="49"/>
      <c r="G2" s="49"/>
      <c r="H2" s="49"/>
      <c r="I2" s="49"/>
      <c r="J2" s="49"/>
      <c r="K2" s="49"/>
      <c r="L2" s="49"/>
      <c r="M2" s="49"/>
      <c r="N2" s="49"/>
      <c r="O2" s="49"/>
      <c r="P2" s="49"/>
      <c r="Q2" s="49"/>
      <c r="R2" s="49"/>
      <c r="S2" s="49"/>
      <c r="T2" s="49"/>
      <c r="U2" s="49"/>
      <c r="V2" s="49"/>
      <c r="W2" s="49"/>
    </row>
    <row r="3" spans="1:23">
      <c r="A3" s="53" t="s">
        <v>444</v>
      </c>
      <c r="B3" s="49" t="s">
        <v>456</v>
      </c>
      <c r="C3" s="49"/>
      <c r="D3" s="49"/>
      <c r="E3" s="49"/>
      <c r="F3" s="313" t="s">
        <v>740</v>
      </c>
      <c r="G3" s="314" t="s">
        <v>676</v>
      </c>
      <c r="H3" s="49"/>
      <c r="I3" s="49"/>
      <c r="J3" s="49"/>
      <c r="K3" s="49"/>
      <c r="L3" s="49"/>
      <c r="M3" s="49"/>
      <c r="N3" s="49"/>
      <c r="O3" s="49"/>
      <c r="P3" s="49"/>
      <c r="Q3" s="49"/>
      <c r="R3" s="49"/>
      <c r="S3" s="49"/>
      <c r="T3" s="49"/>
      <c r="U3" s="49"/>
      <c r="V3" s="49"/>
      <c r="W3" s="49"/>
    </row>
    <row r="4" spans="1:23">
      <c r="A4" s="53" t="s">
        <v>445</v>
      </c>
      <c r="B4" s="51" t="s">
        <v>496</v>
      </c>
      <c r="C4" s="49"/>
      <c r="D4" s="49"/>
      <c r="E4" s="49"/>
      <c r="F4" s="49"/>
      <c r="G4" s="49"/>
      <c r="H4" s="49"/>
      <c r="I4" s="49"/>
      <c r="J4" s="49"/>
      <c r="K4" s="49"/>
      <c r="L4" s="49"/>
      <c r="M4" s="49"/>
      <c r="N4" s="49"/>
      <c r="O4" s="49"/>
      <c r="P4" s="49"/>
      <c r="Q4" s="49"/>
      <c r="R4" s="49"/>
      <c r="S4" s="49"/>
      <c r="T4" s="49"/>
      <c r="U4" s="49"/>
      <c r="V4" s="49"/>
      <c r="W4" s="49"/>
    </row>
    <row r="5" spans="1:23">
      <c r="A5" s="53" t="s">
        <v>446</v>
      </c>
      <c r="B5" s="49" t="s">
        <v>557</v>
      </c>
      <c r="C5" s="49"/>
      <c r="D5" s="49"/>
      <c r="E5" s="49"/>
      <c r="F5" s="49"/>
      <c r="G5" s="49"/>
      <c r="H5" s="49"/>
      <c r="I5" s="49"/>
      <c r="J5" s="49"/>
      <c r="K5" s="49"/>
      <c r="L5" s="49"/>
      <c r="M5" s="49"/>
      <c r="N5" s="49"/>
      <c r="O5" s="49"/>
      <c r="P5" s="49"/>
      <c r="Q5" s="49"/>
      <c r="R5" s="49"/>
      <c r="S5" s="49"/>
      <c r="T5" s="49"/>
      <c r="U5" s="49"/>
      <c r="V5" s="49"/>
      <c r="W5" s="49"/>
    </row>
    <row r="6" spans="1:23">
      <c r="A6" s="49"/>
      <c r="B6" s="49"/>
      <c r="C6" s="49"/>
      <c r="D6" s="49"/>
      <c r="E6" s="49"/>
      <c r="F6" s="49"/>
      <c r="G6" s="49"/>
      <c r="H6" s="49"/>
      <c r="I6" s="49"/>
      <c r="J6" s="49"/>
      <c r="K6" s="49"/>
      <c r="L6" s="49"/>
      <c r="M6" s="49"/>
      <c r="N6" s="49"/>
      <c r="O6" s="49"/>
      <c r="P6" s="49"/>
      <c r="Q6" s="49"/>
      <c r="R6" s="49"/>
      <c r="S6" s="49"/>
      <c r="T6" s="49"/>
      <c r="U6" s="49"/>
      <c r="V6" s="49"/>
      <c r="W6" s="49"/>
    </row>
    <row r="7" spans="1:23">
      <c r="A7" s="50"/>
      <c r="B7" s="49"/>
      <c r="C7" s="49"/>
      <c r="D7" s="49"/>
      <c r="E7" s="49"/>
      <c r="F7" s="49"/>
      <c r="G7" s="49"/>
      <c r="H7" s="49"/>
      <c r="I7" s="49"/>
      <c r="J7" s="49"/>
      <c r="K7" s="49"/>
      <c r="L7" s="49"/>
      <c r="M7" s="49"/>
      <c r="N7" s="49"/>
      <c r="O7" s="49"/>
      <c r="P7" s="49"/>
      <c r="Q7" s="49"/>
      <c r="R7" s="49"/>
      <c r="S7" s="49"/>
      <c r="T7" s="49"/>
      <c r="U7" s="49"/>
      <c r="V7" s="49"/>
      <c r="W7" s="49"/>
    </row>
    <row r="8" spans="1:23" hidden="1">
      <c r="A8" s="50"/>
      <c r="B8" s="49"/>
      <c r="C8" s="49"/>
      <c r="D8" s="49"/>
      <c r="E8" s="49"/>
      <c r="F8" s="49"/>
      <c r="G8" s="49"/>
      <c r="H8" s="49"/>
      <c r="I8" s="49"/>
      <c r="J8" s="49"/>
      <c r="K8" s="49"/>
      <c r="L8" s="49"/>
      <c r="M8" s="49"/>
      <c r="N8" s="49"/>
      <c r="O8" s="49"/>
      <c r="P8" s="49"/>
      <c r="Q8" s="49"/>
      <c r="R8" s="49"/>
      <c r="S8" s="49"/>
      <c r="T8" s="49"/>
      <c r="U8" s="49"/>
      <c r="V8" s="49"/>
      <c r="W8" s="49"/>
    </row>
    <row r="9" spans="1:23" hidden="1">
      <c r="A9" s="50"/>
      <c r="B9" s="49"/>
      <c r="C9" s="49"/>
      <c r="D9" s="49"/>
      <c r="E9" s="49"/>
      <c r="F9" s="49"/>
      <c r="G9" s="49"/>
      <c r="H9" s="49"/>
      <c r="I9" s="49"/>
      <c r="J9" s="49"/>
      <c r="K9" s="49"/>
      <c r="L9" s="49"/>
      <c r="M9" s="49"/>
      <c r="N9" s="49"/>
      <c r="O9" s="49"/>
      <c r="P9" s="49"/>
      <c r="Q9" s="49"/>
      <c r="R9" s="49"/>
      <c r="S9" s="49"/>
      <c r="T9" s="49"/>
      <c r="U9" s="49"/>
      <c r="V9" s="49"/>
      <c r="W9" s="49"/>
    </row>
    <row r="10" spans="1:23" hidden="1">
      <c r="A10" s="50"/>
      <c r="B10" s="49"/>
      <c r="C10" s="49"/>
      <c r="D10" s="49"/>
      <c r="E10" s="49"/>
      <c r="F10" s="49"/>
      <c r="G10" s="49"/>
      <c r="H10" s="49"/>
      <c r="I10" s="49"/>
      <c r="J10" s="49"/>
      <c r="K10" s="49"/>
      <c r="L10" s="49"/>
      <c r="M10" s="49"/>
      <c r="N10" s="49"/>
      <c r="O10" s="49"/>
      <c r="P10" s="49"/>
      <c r="Q10" s="49"/>
      <c r="R10" s="49"/>
      <c r="S10" s="49"/>
      <c r="T10" s="49"/>
      <c r="U10" s="49"/>
      <c r="V10" s="49"/>
      <c r="W10" s="49"/>
    </row>
    <row r="11" spans="1:23" hidden="1">
      <c r="A11" s="50"/>
      <c r="B11" s="49"/>
      <c r="C11" s="49"/>
      <c r="D11" s="49"/>
      <c r="E11" s="49"/>
      <c r="F11" s="49"/>
      <c r="G11" s="49"/>
      <c r="H11" s="49"/>
      <c r="I11" s="49"/>
      <c r="J11" s="49"/>
      <c r="K11" s="49"/>
      <c r="L11" s="49"/>
      <c r="M11" s="49"/>
      <c r="N11" s="49"/>
      <c r="O11" s="49"/>
      <c r="P11" s="49"/>
      <c r="Q11" s="49"/>
      <c r="R11" s="49"/>
      <c r="S11" s="49"/>
      <c r="T11" s="49"/>
      <c r="U11" s="49"/>
      <c r="V11" s="49"/>
      <c r="W11" s="49"/>
    </row>
    <row r="12" spans="1:23" hidden="1">
      <c r="A12" s="49"/>
      <c r="B12" s="49"/>
      <c r="C12" s="49"/>
      <c r="D12" s="49"/>
      <c r="E12" s="49"/>
      <c r="F12" s="49"/>
      <c r="G12" s="49"/>
      <c r="H12" s="49"/>
      <c r="I12" s="49"/>
      <c r="J12" s="49"/>
      <c r="K12" s="49"/>
      <c r="L12" s="49"/>
      <c r="M12" s="49"/>
      <c r="N12" s="49"/>
      <c r="O12" s="49"/>
      <c r="P12" s="49"/>
      <c r="Q12" s="49"/>
      <c r="R12" s="49"/>
      <c r="S12" s="49"/>
      <c r="T12" s="49"/>
      <c r="U12" s="49"/>
      <c r="V12" s="49"/>
      <c r="W12" s="49"/>
    </row>
    <row r="13" spans="1:23" hidden="1">
      <c r="A13" s="49"/>
      <c r="B13" s="49"/>
      <c r="C13" s="49"/>
      <c r="D13" s="49"/>
      <c r="E13" s="49"/>
      <c r="F13" s="49"/>
      <c r="G13" s="49"/>
      <c r="H13" s="49"/>
      <c r="I13" s="49"/>
      <c r="J13" s="49"/>
      <c r="K13" s="49"/>
      <c r="L13" s="49"/>
      <c r="M13" s="49"/>
      <c r="N13" s="49"/>
      <c r="O13" s="49"/>
      <c r="P13" s="49"/>
      <c r="Q13" s="49"/>
      <c r="R13" s="49"/>
      <c r="S13" s="49"/>
      <c r="T13" s="49"/>
      <c r="U13" s="49"/>
      <c r="V13" s="49"/>
      <c r="W13" s="49"/>
    </row>
    <row r="14" spans="1:23">
      <c r="A14" s="49"/>
      <c r="B14" s="49"/>
      <c r="C14" s="49"/>
      <c r="D14" s="49"/>
      <c r="E14" s="49"/>
      <c r="F14" s="49"/>
      <c r="G14" s="49"/>
      <c r="H14" s="49"/>
      <c r="I14" s="49"/>
      <c r="J14" s="49"/>
      <c r="K14" s="49"/>
      <c r="L14" s="49"/>
      <c r="M14" s="49"/>
      <c r="N14" s="49"/>
      <c r="O14" s="49"/>
      <c r="P14" s="49"/>
      <c r="Q14" s="49"/>
      <c r="R14" s="49"/>
      <c r="S14" s="49"/>
      <c r="T14" s="49"/>
      <c r="U14" s="49"/>
      <c r="V14" s="49"/>
      <c r="W14" s="49"/>
    </row>
    <row r="15" spans="1:23">
      <c r="A15" s="49"/>
      <c r="B15" s="49"/>
      <c r="C15" s="49"/>
      <c r="D15" s="49"/>
      <c r="E15" s="49"/>
      <c r="F15" s="49"/>
      <c r="G15" s="49"/>
      <c r="H15" s="49"/>
      <c r="I15" s="49"/>
      <c r="J15" s="49"/>
      <c r="K15" s="49"/>
      <c r="L15" s="49"/>
      <c r="M15" s="49"/>
      <c r="N15" s="49"/>
      <c r="O15" s="49"/>
      <c r="P15" s="49"/>
      <c r="Q15" s="49"/>
      <c r="R15" s="49"/>
      <c r="S15" s="49"/>
      <c r="T15" s="49"/>
      <c r="U15" s="49"/>
      <c r="V15" s="49"/>
      <c r="W15" s="49"/>
    </row>
    <row r="16" spans="1:23">
      <c r="A16" s="1" t="s">
        <v>469</v>
      </c>
      <c r="B16" s="1"/>
      <c r="C16" s="1"/>
      <c r="D16" s="1"/>
      <c r="E16" s="1"/>
      <c r="F16" s="1"/>
      <c r="G16" s="1"/>
      <c r="H16" s="1"/>
      <c r="I16" s="1"/>
      <c r="J16" s="1"/>
      <c r="K16" s="1"/>
      <c r="L16" s="1"/>
      <c r="M16" s="1"/>
      <c r="N16" s="1"/>
      <c r="O16" s="1"/>
      <c r="P16" s="1"/>
      <c r="Q16" s="1"/>
      <c r="R16" s="1"/>
      <c r="S16" s="1"/>
      <c r="T16" s="1"/>
      <c r="U16" s="49"/>
      <c r="V16" s="49"/>
      <c r="W16" s="49"/>
    </row>
    <row r="17" spans="1:47">
      <c r="A17" s="1" t="s">
        <v>443</v>
      </c>
      <c r="B17" s="1" t="s">
        <v>522</v>
      </c>
      <c r="C17" s="1"/>
      <c r="D17" s="1"/>
      <c r="E17" s="1"/>
      <c r="F17" s="1"/>
      <c r="G17" s="1"/>
      <c r="H17" s="1"/>
      <c r="I17" s="1"/>
      <c r="J17" s="1"/>
      <c r="K17" s="1" t="s">
        <v>444</v>
      </c>
      <c r="L17" s="1" t="s">
        <v>523</v>
      </c>
      <c r="M17" s="1"/>
      <c r="N17" s="1"/>
      <c r="O17" s="1"/>
      <c r="P17" s="1"/>
      <c r="Q17" s="1"/>
      <c r="R17" s="1"/>
      <c r="S17" s="1"/>
      <c r="T17" s="1"/>
      <c r="U17" s="49"/>
      <c r="V17" s="49"/>
      <c r="W17" s="49"/>
    </row>
    <row r="18" spans="1:47">
      <c r="A18" s="49"/>
      <c r="B18" s="49"/>
      <c r="C18" s="49"/>
      <c r="D18" s="49"/>
      <c r="E18" s="49"/>
      <c r="F18" s="49"/>
      <c r="G18" s="49"/>
      <c r="H18" s="49"/>
      <c r="I18" s="49"/>
      <c r="J18" s="49"/>
      <c r="K18" s="49"/>
      <c r="L18" s="49"/>
      <c r="M18" s="49"/>
      <c r="N18" s="49"/>
      <c r="O18" s="49"/>
      <c r="P18" s="49"/>
      <c r="Q18" s="49"/>
      <c r="R18" s="49"/>
      <c r="S18" s="49"/>
      <c r="T18" s="49"/>
      <c r="U18" s="49"/>
      <c r="V18" s="49"/>
      <c r="W18" s="49"/>
    </row>
    <row r="19" spans="1:47">
      <c r="A19" s="49"/>
      <c r="B19" s="49"/>
      <c r="C19" s="49"/>
      <c r="D19" s="49"/>
      <c r="E19" s="49"/>
      <c r="F19" s="49"/>
      <c r="G19" s="49"/>
      <c r="H19" s="49"/>
      <c r="I19" s="49"/>
      <c r="J19" s="49"/>
      <c r="K19" s="49"/>
      <c r="L19" s="49"/>
      <c r="M19" s="49"/>
      <c r="N19" s="49"/>
      <c r="O19" s="49"/>
      <c r="P19" s="49"/>
      <c r="Q19" s="49"/>
      <c r="R19" s="49"/>
      <c r="S19" s="49"/>
      <c r="T19" s="49"/>
      <c r="U19" s="49"/>
      <c r="V19" s="49"/>
      <c r="W19" s="49"/>
    </row>
    <row r="20" spans="1:47">
      <c r="A20" s="49"/>
      <c r="B20" s="49"/>
      <c r="C20" s="49"/>
      <c r="D20" s="49"/>
      <c r="E20" s="49"/>
      <c r="F20" s="49"/>
      <c r="G20" s="49"/>
      <c r="H20" s="49"/>
      <c r="I20" s="49"/>
      <c r="J20" s="49"/>
      <c r="K20" s="49"/>
      <c r="L20" s="49"/>
      <c r="M20" s="49"/>
      <c r="N20" s="49"/>
      <c r="O20" s="49"/>
      <c r="P20" s="49"/>
      <c r="Q20" s="49"/>
      <c r="R20" s="49"/>
      <c r="S20" s="49"/>
      <c r="T20" s="49"/>
      <c r="U20" s="49"/>
      <c r="V20" s="49"/>
      <c r="W20" s="49"/>
      <c r="AB20" s="303">
        <f t="shared" ref="AB20:AT20" si="0">AC20-1</f>
        <v>35</v>
      </c>
      <c r="AC20" s="303">
        <f t="shared" si="0"/>
        <v>36</v>
      </c>
      <c r="AD20" s="303">
        <f t="shared" si="0"/>
        <v>37</v>
      </c>
      <c r="AE20" s="303">
        <f t="shared" si="0"/>
        <v>38</v>
      </c>
      <c r="AF20" s="303">
        <f t="shared" si="0"/>
        <v>39</v>
      </c>
      <c r="AG20" s="303">
        <f t="shared" si="0"/>
        <v>40</v>
      </c>
      <c r="AH20" s="303">
        <f t="shared" si="0"/>
        <v>41</v>
      </c>
      <c r="AI20" s="303">
        <f t="shared" si="0"/>
        <v>42</v>
      </c>
      <c r="AJ20" s="303">
        <f t="shared" si="0"/>
        <v>43</v>
      </c>
      <c r="AK20" s="303">
        <f t="shared" si="0"/>
        <v>44</v>
      </c>
      <c r="AL20" s="303">
        <f t="shared" si="0"/>
        <v>45</v>
      </c>
      <c r="AM20" s="303">
        <f t="shared" si="0"/>
        <v>46</v>
      </c>
      <c r="AN20" s="303">
        <f t="shared" si="0"/>
        <v>47</v>
      </c>
      <c r="AO20" s="303">
        <f t="shared" si="0"/>
        <v>48</v>
      </c>
      <c r="AP20" s="303">
        <f t="shared" si="0"/>
        <v>49</v>
      </c>
      <c r="AQ20" s="303">
        <f t="shared" si="0"/>
        <v>50</v>
      </c>
      <c r="AR20" s="303">
        <f t="shared" si="0"/>
        <v>51</v>
      </c>
      <c r="AS20" s="303">
        <f t="shared" si="0"/>
        <v>52</v>
      </c>
      <c r="AT20" s="303">
        <f t="shared" si="0"/>
        <v>53</v>
      </c>
      <c r="AU20" s="303">
        <f>VLOOKUP(AU21,Dates!$A:$D,2,FALSE)</f>
        <v>54</v>
      </c>
    </row>
    <row r="21" spans="1:47">
      <c r="A21" s="49"/>
      <c r="B21" s="49"/>
      <c r="C21" s="49"/>
      <c r="D21" s="49"/>
      <c r="E21" s="49"/>
      <c r="F21" s="49"/>
      <c r="G21" s="49"/>
      <c r="H21" s="49"/>
      <c r="I21" s="49"/>
      <c r="J21" s="49"/>
      <c r="K21" s="49"/>
      <c r="L21" s="49"/>
      <c r="M21" s="49"/>
      <c r="N21" s="49"/>
      <c r="O21" s="49"/>
      <c r="P21" s="49"/>
      <c r="Q21" s="49"/>
      <c r="R21" s="49"/>
      <c r="S21" s="49"/>
      <c r="T21" s="49"/>
      <c r="U21" s="49"/>
      <c r="V21" s="49"/>
      <c r="W21" s="49"/>
      <c r="AB21" s="303" t="str">
        <f>IFERROR(VLOOKUP(AB20,Dates!$B:$D,3,FALSE),"")</f>
        <v>3Q20</v>
      </c>
      <c r="AC21" s="303" t="str">
        <f>IFERROR(VLOOKUP(AC20,Dates!$B:$D,3,FALSE),"")</f>
        <v>4Q20</v>
      </c>
      <c r="AD21" s="303" t="str">
        <f>IFERROR(VLOOKUP(AD20,Dates!$B:$D,3,FALSE),"")</f>
        <v>1Q21</v>
      </c>
      <c r="AE21" s="303" t="str">
        <f>IFERROR(VLOOKUP(AE20,Dates!$B:$D,3,FALSE),"")</f>
        <v>2Q21</v>
      </c>
      <c r="AF21" s="303" t="str">
        <f>IFERROR(VLOOKUP(AF20,Dates!$B:$D,3,FALSE),"")</f>
        <v>3Q21</v>
      </c>
      <c r="AG21" s="303" t="str">
        <f>IFERROR(VLOOKUP(AG20,Dates!$B:$D,3,FALSE),"")</f>
        <v>4Q21</v>
      </c>
      <c r="AH21" s="303" t="str">
        <f>IFERROR(VLOOKUP(AH20,Dates!$B:$D,3,FALSE),"")</f>
        <v>1Q22</v>
      </c>
      <c r="AI21" s="303" t="str">
        <f>IFERROR(VLOOKUP(AI20,Dates!$B:$D,3,FALSE),"")</f>
        <v>2Q22</v>
      </c>
      <c r="AJ21" s="303" t="str">
        <f>IFERROR(VLOOKUP(AJ20,Dates!$B:$D,3,FALSE),"")</f>
        <v>3Q22</v>
      </c>
      <c r="AK21" s="303" t="str">
        <f>IFERROR(VLOOKUP(AK20,Dates!$B:$D,3,FALSE),"")</f>
        <v>4Q22</v>
      </c>
      <c r="AL21" s="303" t="str">
        <f>IFERROR(VLOOKUP(AL20,Dates!$B:$D,3,FALSE),"")</f>
        <v>1Q23</v>
      </c>
      <c r="AM21" s="303" t="str">
        <f>IFERROR(VLOOKUP(AM20,Dates!$B:$D,3,FALSE),"")</f>
        <v>2Q23</v>
      </c>
      <c r="AN21" s="303" t="str">
        <f>IFERROR(VLOOKUP(AN20,Dates!$B:$D,3,FALSE),"")</f>
        <v>3Q23</v>
      </c>
      <c r="AO21" s="303" t="str">
        <f>IFERROR(VLOOKUP(AO20,Dates!$B:$D,3,FALSE),"")</f>
        <v>4Q23</v>
      </c>
      <c r="AP21" s="303" t="str">
        <f>IFERROR(VLOOKUP(AP20,Dates!$B:$D,3,FALSE),"")</f>
        <v>1Q24</v>
      </c>
      <c r="AQ21" s="303" t="str">
        <f>IFERROR(VLOOKUP(AQ20,Dates!$B:$D,3,FALSE),"")</f>
        <v>2Q24</v>
      </c>
      <c r="AR21" s="303" t="str">
        <f>IFERROR(VLOOKUP(AR20,Dates!$B:$D,3,FALSE),"")</f>
        <v>3Q24</v>
      </c>
      <c r="AS21" s="303" t="str">
        <f>IFERROR(VLOOKUP(AS20,Dates!$B:$D,3,FALSE),"")</f>
        <v>4Q24</v>
      </c>
      <c r="AT21" s="303" t="str">
        <f>IFERROR(VLOOKUP(AT20,Dates!$B:$D,3,FALSE),"")</f>
        <v>1Q25</v>
      </c>
      <c r="AU21" s="315" t="str">
        <f>$G$3</f>
        <v>2Q25</v>
      </c>
    </row>
    <row r="22" spans="1:47">
      <c r="A22" s="49"/>
      <c r="B22" s="49"/>
      <c r="C22" s="49"/>
      <c r="D22" s="49"/>
      <c r="E22" s="49"/>
      <c r="F22" s="49"/>
      <c r="G22" s="49"/>
      <c r="H22" s="49"/>
      <c r="I22" s="49"/>
      <c r="J22" s="49"/>
      <c r="K22" s="49"/>
      <c r="L22" s="49"/>
      <c r="M22" s="49"/>
      <c r="N22" s="49"/>
      <c r="O22" s="49"/>
      <c r="P22" s="49"/>
      <c r="Q22" s="49"/>
      <c r="R22" s="49"/>
      <c r="S22" s="49"/>
      <c r="T22" s="49"/>
      <c r="U22" s="49"/>
      <c r="V22" s="49"/>
      <c r="W22" s="49"/>
      <c r="AA22" s="316" t="str">
        <f>'Reported Group Profit and Loss'!B4</f>
        <v>Revenue from operations</v>
      </c>
      <c r="AB22" s="317">
        <f>IFERROR(INDEX('Reported Group Profit and Loss'!$A:$ABD,MATCH($AA22,'Reported Group Profit and Loss'!$B:$B,0),MATCH(AB21,'Reported Group Profit and Loss'!$1:$1,0)),"")</f>
        <v>219471</v>
      </c>
      <c r="AC22" s="317">
        <f>IFERROR(INDEX('Reported Group Profit and Loss'!$A:$ABD,MATCH($AA22,'Reported Group Profit and Loss'!$B:$B,0),MATCH(AC21,'Reported Group Profit and Loss'!$1:$1,0)),"")</f>
        <v>230187</v>
      </c>
      <c r="AD22" s="317">
        <f>IFERROR(INDEX('Reported Group Profit and Loss'!$A:$ABD,MATCH($AA22,'Reported Group Profit and Loss'!$B:$B,0),MATCH(AD21,'Reported Group Profit and Loss'!$1:$1,0)),"")</f>
        <v>232903</v>
      </c>
      <c r="AE22" s="317">
        <f>IFERROR(INDEX('Reported Group Profit and Loss'!$A:$ABD,MATCH($AA22,'Reported Group Profit and Loss'!$B:$B,0),MATCH(AE21,'Reported Group Profit and Loss'!$1:$1,0)),"")</f>
        <v>250604</v>
      </c>
      <c r="AF22" s="317">
        <f>IFERROR(INDEX('Reported Group Profit and Loss'!$A:$ABD,MATCH($AA22,'Reported Group Profit and Loss'!$B:$B,0),MATCH(AF21,'Reported Group Profit and Loss'!$1:$1,0)),"")</f>
        <v>265178</v>
      </c>
      <c r="AG22" s="317">
        <f>IFERROR(INDEX('Reported Group Profit and Loss'!$A:$ABD,MATCH($AA22,'Reported Group Profit and Loss'!$B:$B,0),MATCH(AG21,'Reported Group Profit and Loss'!$1:$1,0)),"")</f>
        <v>257473</v>
      </c>
      <c r="AH22" s="317">
        <f>IFERROR(INDEX('Reported Group Profit and Loss'!$A:$ABD,MATCH($AA22,'Reported Group Profit and Loss'!$B:$B,0),MATCH(AH21,'Reported Group Profit and Loss'!$1:$1,0)),"")</f>
        <v>268536</v>
      </c>
      <c r="AI22" s="317">
        <f>IFERROR(INDEX('Reported Group Profit and Loss'!$A:$ABD,MATCH($AA22,'Reported Group Profit and Loss'!$B:$B,0),MATCH(AI21,'Reported Group Profit and Loss'!$1:$1,0)),"")</f>
        <v>283264</v>
      </c>
      <c r="AJ22" s="317">
        <f>IFERROR(INDEX('Reported Group Profit and Loss'!$A:$ABD,MATCH($AA22,'Reported Group Profit and Loss'!$B:$B,0),MATCH(AJ21,'Reported Group Profit and Loss'!$1:$1,0)),"")</f>
        <v>298666</v>
      </c>
      <c r="AK22" s="317">
        <f>IFERROR(INDEX('Reported Group Profit and Loss'!$A:$ABD,MATCH($AA22,'Reported Group Profit and Loss'!$B:$B,0),MATCH(AK21,'Reported Group Profit and Loss'!$1:$1,0)),"")</f>
        <v>315003</v>
      </c>
      <c r="AL22" s="317">
        <f>IFERROR(INDEX('Reported Group Profit and Loss'!$A:$ABD,MATCH($AA22,'Reported Group Profit and Loss'!$B:$B,0),MATCH(AL21,'Reported Group Profit and Loss'!$1:$1,0)),"")</f>
        <v>328046</v>
      </c>
      <c r="AM22" s="317">
        <f>IFERROR(INDEX('Reported Group Profit and Loss'!$A:$ABD,MATCH($AA22,'Reported Group Profit and Loss'!$B:$B,0),MATCH(AM21,'Reported Group Profit and Loss'!$1:$1,0)),"")</f>
        <v>345268</v>
      </c>
      <c r="AN22" s="317">
        <f>IFERROR(INDEX('Reported Group Profit and Loss'!$A:$ABD,MATCH($AA22,'Reported Group Profit and Loss'!$B:$B,0),MATCH(AN21,'Reported Group Profit and Loss'!$1:$1,0)),"")</f>
        <v>358044</v>
      </c>
      <c r="AO22" s="317">
        <f>IFERROR(INDEX('Reported Group Profit and Loss'!$A:$ABD,MATCH($AA22,'Reported Group Profit and Loss'!$B:$B,0),MATCH(AO21,'Reported Group Profit and Loss'!$1:$1,0)),"")</f>
        <v>360090</v>
      </c>
      <c r="AP22" s="317">
        <f>IFERROR(INDEX('Reported Group Profit and Loss'!$A:$ABD,MATCH($AA22,'Reported Group Profit and Loss'!$B:$B,0),MATCH(AP21,'Reported Group Profit and Loss'!$1:$1,0)),"")</f>
        <v>374400</v>
      </c>
      <c r="AQ22" s="317">
        <f>IFERROR(INDEX('Reported Group Profit and Loss'!$A:$ABD,MATCH($AA22,'Reported Group Profit and Loss'!$B:$B,0),MATCH(AQ21,'Reported Group Profit and Loss'!$1:$1,0)),"")</f>
        <v>370438</v>
      </c>
      <c r="AR22" s="317">
        <f>IFERROR(INDEX('Reported Group Profit and Loss'!$A:$ABD,MATCH($AA22,'Reported Group Profit and Loss'!$B:$B,0),MATCH(AR21,'Reported Group Profit and Loss'!$1:$1,0)),"")</f>
        <v>378995</v>
      </c>
      <c r="AS22" s="317">
        <f>IFERROR(INDEX('Reported Group Profit and Loss'!$A:$ABD,MATCH($AA22,'Reported Group Profit and Loss'!$B:$B,0),MATCH(AS21,'Reported Group Profit and Loss'!$1:$1,0)),"")</f>
        <v>375991</v>
      </c>
      <c r="AT22" s="317">
        <f>IFERROR(INDEX('Reported Group Profit and Loss'!$A:$ABD,MATCH($AA22,'Reported Group Profit and Loss'!$B:$B,0),MATCH(AT21,'Reported Group Profit and Loss'!$1:$1,0)),"")</f>
        <v>385064</v>
      </c>
      <c r="AU22" s="317">
        <f>IFERROR(INDEX('Reported Group Profit and Loss'!$A:$ABD,MATCH($AA22,'Reported Group Profit and Loss'!$B:$B,0),MATCH(AU21,'Reported Group Profit and Loss'!$1:$1,0)),"")</f>
        <v>414733</v>
      </c>
    </row>
    <row r="23" spans="1:47">
      <c r="A23" s="49"/>
      <c r="B23" s="49"/>
      <c r="C23" s="49"/>
      <c r="D23" s="49"/>
      <c r="E23" s="49"/>
      <c r="F23" s="49"/>
      <c r="G23" s="49"/>
      <c r="H23" s="49"/>
      <c r="I23" s="49"/>
      <c r="J23" s="49"/>
      <c r="K23" s="49"/>
      <c r="L23" s="49"/>
      <c r="M23" s="49"/>
      <c r="N23" s="49"/>
      <c r="O23" s="49"/>
      <c r="P23" s="49"/>
      <c r="Q23" s="49"/>
      <c r="R23" s="49"/>
      <c r="S23" s="49"/>
      <c r="T23" s="49"/>
      <c r="U23" s="49"/>
      <c r="V23" s="49"/>
      <c r="W23" s="49"/>
      <c r="AA23" s="316" t="str">
        <f>'Reported Group Profit and Loss'!B59</f>
        <v>Group Total Revenue Growth YoY</v>
      </c>
      <c r="AB23" s="318">
        <f>IFERROR(INDEX('Reported Group Profit and Loss'!$A:$ABD,MATCH($AA23,'Reported Group Profit and Loss'!$B:$B,0),MATCH(AB21,'Reported Group Profit and Loss'!$1:$1,0)),"")</f>
        <v>9.9514252214438326E-2</v>
      </c>
      <c r="AC23" s="318">
        <f>IFERROR(INDEX('Reported Group Profit and Loss'!$A:$ABD,MATCH($AA23,'Reported Group Profit and Loss'!$B:$B,0),MATCH(AC21,'Reported Group Profit and Loss'!$1:$1,0)),"")</f>
        <v>0.15402676116339409</v>
      </c>
      <c r="AD23" s="318">
        <f>IFERROR(INDEX('Reported Group Profit and Loss'!$A:$ABD,MATCH($AA23,'Reported Group Profit and Loss'!$B:$B,0),MATCH(AD21,'Reported Group Profit and Loss'!$1:$1,0)),"")</f>
        <v>0.12668630217664179</v>
      </c>
      <c r="AE23" s="318">
        <f>IFERROR(INDEX('Reported Group Profit and Loss'!$A:$ABD,MATCH($AA23,'Reported Group Profit and Loss'!$B:$B,0),MATCH(AE21,'Reported Group Profit and Loss'!$1:$1,0)),"")</f>
        <v>0.17159885361697369</v>
      </c>
      <c r="AF23" s="318">
        <f>IFERROR(INDEX('Reported Group Profit and Loss'!$A:$ABD,MATCH($AA23,'Reported Group Profit and Loss'!$B:$B,0),MATCH(AF21,'Reported Group Profit and Loss'!$1:$1,0)),"")</f>
        <v>0.19035244146138197</v>
      </c>
      <c r="AG23" s="318">
        <f>IFERROR(INDEX('Reported Group Profit and Loss'!$A:$ABD,MATCH($AA23,'Reported Group Profit and Loss'!$B:$B,0),MATCH(AG21,'Reported Group Profit and Loss'!$1:$1,0)),"")</f>
        <v>8.3592927407345252E-2</v>
      </c>
      <c r="AH23" s="318">
        <f>IFERROR(INDEX('Reported Group Profit and Loss'!$A:$ABD,MATCH($AA23,'Reported Group Profit and Loss'!$B:$B,0),MATCH(AH21,'Reported Group Profit and Loss'!$1:$1,0)),"")</f>
        <v>0.14206417740634203</v>
      </c>
      <c r="AI23" s="318">
        <f>IFERROR(INDEX('Reported Group Profit and Loss'!$A:$ABD,MATCH($AA23,'Reported Group Profit and Loss'!$B:$B,0),MATCH(AI21,'Reported Group Profit and Loss'!$1:$1,0)),"")</f>
        <v>0.13001844695134879</v>
      </c>
      <c r="AJ23" s="318">
        <f>IFERROR(INDEX('Reported Group Profit and Loss'!$A:$ABD,MATCH($AA23,'Reported Group Profit and Loss'!$B:$B,0),MATCH(AJ21,'Reported Group Profit and Loss'!$1:$1,0)),"")</f>
        <v>0.1316181729212933</v>
      </c>
      <c r="AK23" s="318">
        <f>IFERROR(INDEX('Reported Group Profit and Loss'!$A:$ABD,MATCH($AA23,'Reported Group Profit and Loss'!$B:$B,0),MATCH(AK21,'Reported Group Profit and Loss'!$1:$1,0)),"")</f>
        <v>0.22018579835338858</v>
      </c>
      <c r="AL23" s="318">
        <f>IFERROR(INDEX('Reported Group Profit and Loss'!$A:$ABD,MATCH($AA23,'Reported Group Profit and Loss'!$B:$B,0),MATCH(AL21,'Reported Group Profit and Loss'!$1:$1,0)),"")</f>
        <v>0.21924074580429664</v>
      </c>
      <c r="AM23" s="318">
        <f>IFERROR(INDEX('Reported Group Profit and Loss'!$A:$ABD,MATCH($AA23,'Reported Group Profit and Loss'!$B:$B,0),MATCH(AM21,'Reported Group Profit and Loss'!$1:$1,0)),"")</f>
        <v>0.2213277909070448</v>
      </c>
      <c r="AN23" s="318">
        <f>IFERROR(INDEX('Reported Group Profit and Loss'!$A:$ABD,MATCH($AA23,'Reported Group Profit and Loss'!$B:$B,0),MATCH(AN21,'Reported Group Profit and Loss'!$1:$1,0)),"")</f>
        <v>0.19951968653226326</v>
      </c>
      <c r="AO23" s="318">
        <f>IFERROR(INDEX('Reported Group Profit and Loss'!$A:$ABD,MATCH($AA23,'Reported Group Profit and Loss'!$B:$B,0),MATCH(AO21,'Reported Group Profit and Loss'!$1:$1,0)),"")</f>
        <v>0.15149640374505458</v>
      </c>
      <c r="AP23" s="318">
        <f>IFERROR(INDEX('Reported Group Profit and Loss'!$A:$ABD,MATCH($AA23,'Reported Group Profit and Loss'!$B:$B,0),MATCH(AP21,'Reported Group Profit and Loss'!$1:$1,0)),"")</f>
        <v>0.14521105076855934</v>
      </c>
      <c r="AQ23" s="318">
        <f>IFERROR(INDEX('Reported Group Profit and Loss'!$A:$ABD,MATCH($AA23,'Reported Group Profit and Loss'!$B:$B,0),MATCH(AQ21,'Reported Group Profit and Loss'!$1:$1,0)),"")</f>
        <v>7.6176188570260317E-2</v>
      </c>
      <c r="AR23" s="318">
        <f>IFERROR(INDEX('Reported Group Profit and Loss'!$A:$ABD,MATCH($AA23,'Reported Group Profit and Loss'!$B:$B,0),MATCH(AR21,'Reported Group Profit and Loss'!$1:$1,0)),"")</f>
        <v>6.3149575730686136E-2</v>
      </c>
      <c r="AS23" s="318">
        <f>IFERROR(INDEX('Reported Group Profit and Loss'!$A:$ABD,MATCH($AA23,'Reported Group Profit and Loss'!$B:$B,0),MATCH(AS21,'Reported Group Profit and Loss'!$1:$1,0)),"")</f>
        <v>4.4693460884611458E-2</v>
      </c>
      <c r="AT23" s="318">
        <f>IFERROR(INDEX('Reported Group Profit and Loss'!$A:$ABD,MATCH($AA23,'Reported Group Profit and Loss'!$B:$B,0),MATCH(AT21,'Reported Group Profit and Loss'!$1:$1,0)),"")</f>
        <v>2.8622615994897904E-2</v>
      </c>
      <c r="AU23" s="318">
        <f>IFERROR(INDEX('Reported Group Profit and Loss'!$A:$ABD,MATCH($AA23,'Reported Group Profit and Loss'!$B:$B,0),MATCH(AU21,'Reported Group Profit and Loss'!$1:$1,0)),"")</f>
        <v>0.11649212558395905</v>
      </c>
    </row>
    <row r="24" spans="1:47">
      <c r="A24" s="49"/>
      <c r="B24" s="49"/>
      <c r="C24" s="49"/>
      <c r="D24" s="49"/>
      <c r="E24" s="49"/>
      <c r="F24" s="49"/>
      <c r="G24" s="49"/>
      <c r="H24" s="49"/>
      <c r="I24" s="49"/>
      <c r="J24" s="49"/>
      <c r="K24" s="49"/>
      <c r="L24" s="49"/>
      <c r="M24" s="49"/>
      <c r="N24" s="49"/>
      <c r="O24" s="49"/>
      <c r="P24" s="49"/>
      <c r="Q24" s="49"/>
      <c r="R24" s="49"/>
      <c r="S24" s="49"/>
      <c r="T24" s="49"/>
      <c r="U24" s="49"/>
      <c r="V24" s="49"/>
      <c r="W24" s="49"/>
    </row>
    <row r="25" spans="1:47">
      <c r="A25" s="49"/>
      <c r="B25" s="49"/>
      <c r="C25" s="49"/>
      <c r="D25" s="49"/>
      <c r="E25" s="49"/>
      <c r="F25" s="49"/>
      <c r="G25" s="49"/>
      <c r="H25" s="49"/>
      <c r="I25" s="49"/>
      <c r="J25" s="49"/>
      <c r="K25" s="49"/>
      <c r="L25" s="49"/>
      <c r="M25" s="49"/>
      <c r="N25" s="49"/>
      <c r="O25" s="49"/>
      <c r="P25" s="49"/>
      <c r="Q25" s="49"/>
      <c r="R25" s="49"/>
      <c r="S25" s="49"/>
      <c r="T25" s="49"/>
      <c r="U25" s="49"/>
      <c r="V25" s="49"/>
      <c r="W25" s="49"/>
    </row>
    <row r="26" spans="1:47">
      <c r="A26" s="49"/>
      <c r="B26" s="49"/>
      <c r="C26" s="49"/>
      <c r="D26" s="49"/>
      <c r="E26" s="49"/>
      <c r="F26" s="49"/>
      <c r="G26" s="49"/>
      <c r="H26" s="49"/>
      <c r="I26" s="49"/>
      <c r="J26" s="49"/>
      <c r="K26" s="49"/>
      <c r="L26" s="49"/>
      <c r="M26" s="49"/>
      <c r="N26" s="49"/>
      <c r="O26" s="49"/>
      <c r="P26" s="49"/>
      <c r="Q26" s="49"/>
      <c r="R26" s="49"/>
      <c r="S26" s="49"/>
      <c r="T26" s="49"/>
      <c r="U26" s="49"/>
      <c r="V26" s="49"/>
      <c r="W26" s="49"/>
    </row>
    <row r="27" spans="1:47">
      <c r="A27" s="49"/>
      <c r="B27" s="49"/>
      <c r="C27" s="49"/>
      <c r="D27" s="49"/>
      <c r="E27" s="49"/>
      <c r="F27" s="49"/>
      <c r="G27" s="49"/>
      <c r="H27" s="49"/>
      <c r="I27" s="49"/>
      <c r="J27" s="49"/>
      <c r="K27" s="49"/>
      <c r="L27" s="49"/>
      <c r="M27" s="49"/>
      <c r="N27" s="49"/>
      <c r="O27" s="49"/>
      <c r="P27" s="49"/>
      <c r="Q27" s="49"/>
      <c r="R27" s="49"/>
      <c r="S27" s="49"/>
      <c r="T27" s="49"/>
      <c r="U27" s="49"/>
      <c r="V27" s="49"/>
      <c r="W27" s="49"/>
      <c r="AB27" s="303">
        <f t="shared" ref="AB27" si="1">AC27-1</f>
        <v>35</v>
      </c>
      <c r="AC27" s="303">
        <f t="shared" ref="AC27" si="2">AD27-1</f>
        <v>36</v>
      </c>
      <c r="AD27" s="303">
        <f t="shared" ref="AD27" si="3">AE27-1</f>
        <v>37</v>
      </c>
      <c r="AE27" s="303">
        <f t="shared" ref="AE27" si="4">AF27-1</f>
        <v>38</v>
      </c>
      <c r="AF27" s="303">
        <f t="shared" ref="AF27" si="5">AG27-1</f>
        <v>39</v>
      </c>
      <c r="AG27" s="303">
        <f t="shared" ref="AG27" si="6">AH27-1</f>
        <v>40</v>
      </c>
      <c r="AH27" s="303">
        <f t="shared" ref="AH27" si="7">AI27-1</f>
        <v>41</v>
      </c>
      <c r="AI27" s="303">
        <f t="shared" ref="AI27" si="8">AJ27-1</f>
        <v>42</v>
      </c>
      <c r="AJ27" s="303">
        <f t="shared" ref="AJ27" si="9">AK27-1</f>
        <v>43</v>
      </c>
      <c r="AK27" s="303">
        <f t="shared" ref="AK27" si="10">AL27-1</f>
        <v>44</v>
      </c>
      <c r="AL27" s="303">
        <f t="shared" ref="AL27" si="11">AM27-1</f>
        <v>45</v>
      </c>
      <c r="AM27" s="303">
        <f t="shared" ref="AM27" si="12">AN27-1</f>
        <v>46</v>
      </c>
      <c r="AN27" s="303">
        <f t="shared" ref="AN27" si="13">AO27-1</f>
        <v>47</v>
      </c>
      <c r="AO27" s="303">
        <f t="shared" ref="AO27" si="14">AP27-1</f>
        <v>48</v>
      </c>
      <c r="AP27" s="303">
        <f t="shared" ref="AP27" si="15">AQ27-1</f>
        <v>49</v>
      </c>
      <c r="AQ27" s="303">
        <f t="shared" ref="AQ27" si="16">AR27-1</f>
        <v>50</v>
      </c>
      <c r="AR27" s="303">
        <f t="shared" ref="AR27" si="17">AS27-1</f>
        <v>51</v>
      </c>
      <c r="AS27" s="303">
        <f t="shared" ref="AS27" si="18">AT27-1</f>
        <v>52</v>
      </c>
      <c r="AT27" s="303">
        <f t="shared" ref="AT27" si="19">AU27-1</f>
        <v>53</v>
      </c>
      <c r="AU27" s="303">
        <f>VLOOKUP(AU28,Dates!$A:$D,2,FALSE)</f>
        <v>54</v>
      </c>
    </row>
    <row r="28" spans="1:47">
      <c r="A28" s="49"/>
      <c r="B28" s="49"/>
      <c r="C28" s="49"/>
      <c r="D28" s="49"/>
      <c r="E28" s="49"/>
      <c r="F28" s="49"/>
      <c r="G28" s="49"/>
      <c r="H28" s="49"/>
      <c r="I28" s="49"/>
      <c r="J28" s="49"/>
      <c r="K28" s="49"/>
      <c r="L28" s="49"/>
      <c r="M28" s="49"/>
      <c r="N28" s="49"/>
      <c r="O28" s="49"/>
      <c r="P28" s="49"/>
      <c r="Q28" s="49"/>
      <c r="R28" s="49"/>
      <c r="S28" s="49"/>
      <c r="T28" s="49"/>
      <c r="U28" s="49"/>
      <c r="V28" s="49"/>
      <c r="W28" s="49"/>
      <c r="AB28" s="303" t="str">
        <f>IFERROR(VLOOKUP(AB27,Dates!$B:$D,3,FALSE),"")</f>
        <v>3Q20</v>
      </c>
      <c r="AC28" s="303" t="str">
        <f>IFERROR(VLOOKUP(AC27,Dates!$B:$D,3,FALSE),"")</f>
        <v>4Q20</v>
      </c>
      <c r="AD28" s="303" t="str">
        <f>IFERROR(VLOOKUP(AD27,Dates!$B:$D,3,FALSE),"")</f>
        <v>1Q21</v>
      </c>
      <c r="AE28" s="303" t="str">
        <f>IFERROR(VLOOKUP(AE27,Dates!$B:$D,3,FALSE),"")</f>
        <v>2Q21</v>
      </c>
      <c r="AF28" s="303" t="str">
        <f>IFERROR(VLOOKUP(AF27,Dates!$B:$D,3,FALSE),"")</f>
        <v>3Q21</v>
      </c>
      <c r="AG28" s="303" t="str">
        <f>IFERROR(VLOOKUP(AG27,Dates!$B:$D,3,FALSE),"")</f>
        <v>4Q21</v>
      </c>
      <c r="AH28" s="303" t="str">
        <f>IFERROR(VLOOKUP(AH27,Dates!$B:$D,3,FALSE),"")</f>
        <v>1Q22</v>
      </c>
      <c r="AI28" s="303" t="str">
        <f>IFERROR(VLOOKUP(AI27,Dates!$B:$D,3,FALSE),"")</f>
        <v>2Q22</v>
      </c>
      <c r="AJ28" s="303" t="str">
        <f>IFERROR(VLOOKUP(AJ27,Dates!$B:$D,3,FALSE),"")</f>
        <v>3Q22</v>
      </c>
      <c r="AK28" s="303" t="str">
        <f>IFERROR(VLOOKUP(AK27,Dates!$B:$D,3,FALSE),"")</f>
        <v>4Q22</v>
      </c>
      <c r="AL28" s="303" t="str">
        <f>IFERROR(VLOOKUP(AL27,Dates!$B:$D,3,FALSE),"")</f>
        <v>1Q23</v>
      </c>
      <c r="AM28" s="303" t="str">
        <f>IFERROR(VLOOKUP(AM27,Dates!$B:$D,3,FALSE),"")</f>
        <v>2Q23</v>
      </c>
      <c r="AN28" s="303" t="str">
        <f>IFERROR(VLOOKUP(AN27,Dates!$B:$D,3,FALSE),"")</f>
        <v>3Q23</v>
      </c>
      <c r="AO28" s="303" t="str">
        <f>IFERROR(VLOOKUP(AO27,Dates!$B:$D,3,FALSE),"")</f>
        <v>4Q23</v>
      </c>
      <c r="AP28" s="303" t="str">
        <f>IFERROR(VLOOKUP(AP27,Dates!$B:$D,3,FALSE),"")</f>
        <v>1Q24</v>
      </c>
      <c r="AQ28" s="303" t="str">
        <f>IFERROR(VLOOKUP(AQ27,Dates!$B:$D,3,FALSE),"")</f>
        <v>2Q24</v>
      </c>
      <c r="AR28" s="303" t="str">
        <f>IFERROR(VLOOKUP(AR27,Dates!$B:$D,3,FALSE),"")</f>
        <v>3Q24</v>
      </c>
      <c r="AS28" s="303" t="str">
        <f>IFERROR(VLOOKUP(AS27,Dates!$B:$D,3,FALSE),"")</f>
        <v>4Q24</v>
      </c>
      <c r="AT28" s="303" t="str">
        <f>IFERROR(VLOOKUP(AT27,Dates!$B:$D,3,FALSE),"")</f>
        <v>1Q25</v>
      </c>
      <c r="AU28" s="315" t="str">
        <f>$G$3</f>
        <v>2Q25</v>
      </c>
    </row>
    <row r="29" spans="1:47">
      <c r="A29" s="49"/>
      <c r="B29" s="49"/>
      <c r="C29" s="49"/>
      <c r="D29" s="49"/>
      <c r="E29" s="49"/>
      <c r="F29" s="49"/>
      <c r="G29" s="49"/>
      <c r="H29" s="49"/>
      <c r="I29" s="49"/>
      <c r="J29" s="49"/>
      <c r="K29" s="49"/>
      <c r="L29" s="49"/>
      <c r="M29" s="49"/>
      <c r="N29" s="49"/>
      <c r="O29" s="49"/>
      <c r="P29" s="49"/>
      <c r="Q29" s="49"/>
      <c r="R29" s="49"/>
      <c r="S29" s="49"/>
      <c r="T29" s="49"/>
      <c r="U29" s="49"/>
      <c r="V29" s="49"/>
      <c r="W29" s="49"/>
      <c r="AA29" s="316" t="str">
        <f>'Reported Group Profit and Loss'!B60</f>
        <v>Group Total Revenue Growth QoQ</v>
      </c>
      <c r="AB29" s="318">
        <f>IFERROR(INDEX('Reported Group Profit and Loss'!$A:$ABD,MATCH($AA29,'Reported Group Profit and Loss'!$B:$B,0),MATCH(AB28,'Reported Group Profit and Loss'!$1:$1,0)),"")</f>
        <v>3.9142560492413159E-2</v>
      </c>
      <c r="AC29" s="318">
        <f>IFERROR(INDEX('Reported Group Profit and Loss'!$A:$ABD,MATCH($AA29,'Reported Group Profit and Loss'!$B:$B,0),MATCH(AC28,'Reported Group Profit and Loss'!$1:$1,0)),"")</f>
        <v>6.8100149650963671E-2</v>
      </c>
      <c r="AD29" s="318">
        <f>IFERROR(INDEX('Reported Group Profit and Loss'!$A:$ABD,MATCH($AA29,'Reported Group Profit and Loss'!$B:$B,0),MATCH(AD28,'Reported Group Profit and Loss'!$1:$1,0)),"")</f>
        <v>-5.9392586823835414E-3</v>
      </c>
      <c r="AE29" s="318">
        <f>IFERROR(INDEX('Reported Group Profit and Loss'!$A:$ABD,MATCH($AA29,'Reported Group Profit and Loss'!$B:$B,0),MATCH(AE28,'Reported Group Profit and Loss'!$1:$1,0)),"")</f>
        <v>6.1888474239926605E-2</v>
      </c>
      <c r="AF29" s="318">
        <f>IFERROR(INDEX('Reported Group Profit and Loss'!$A:$ABD,MATCH($AA29,'Reported Group Profit and Loss'!$B:$B,0),MATCH(AF28,'Reported Group Profit and Loss'!$1:$1,0)),"")</f>
        <v>5.5775942499313613E-2</v>
      </c>
      <c r="AG29" s="318">
        <f>IFERROR(INDEX('Reported Group Profit and Loss'!$A:$ABD,MATCH($AA29,'Reported Group Profit and Loss'!$B:$B,0),MATCH(AG28,'Reported Group Profit and Loss'!$1:$1,0)),"")</f>
        <v>-2.7694884631309535E-2</v>
      </c>
      <c r="AH29" s="318">
        <f>IFERROR(INDEX('Reported Group Profit and Loss'!$A:$ABD,MATCH($AA29,'Reported Group Profit and Loss'!$B:$B,0),MATCH(AH28,'Reported Group Profit and Loss'!$1:$1,0)),"")</f>
        <v>4.7700786993108757E-2</v>
      </c>
      <c r="AI29" s="318">
        <f>IFERROR(INDEX('Reported Group Profit and Loss'!$A:$ABD,MATCH($AA29,'Reported Group Profit and Loss'!$B:$B,0),MATCH(AI28,'Reported Group Profit and Loss'!$1:$1,0)),"")</f>
        <v>5.0688383573386897E-2</v>
      </c>
      <c r="AJ29" s="318">
        <f>IFERROR(INDEX('Reported Group Profit and Loss'!$A:$ABD,MATCH($AA29,'Reported Group Profit and Loss'!$B:$B,0),MATCH(AJ28,'Reported Group Profit and Loss'!$1:$1,0)),"")</f>
        <v>5.7270566058969186E-2</v>
      </c>
      <c r="AK29" s="318">
        <f>IFERROR(INDEX('Reported Group Profit and Loss'!$A:$ABD,MATCH($AA29,'Reported Group Profit and Loss'!$B:$B,0),MATCH(AK28,'Reported Group Profit and Loss'!$1:$1,0)),"")</f>
        <v>4.8403889075529616E-2</v>
      </c>
      <c r="AL29" s="318">
        <f>IFERROR(INDEX('Reported Group Profit and Loss'!$A:$ABD,MATCH($AA29,'Reported Group Profit and Loss'!$B:$B,0),MATCH(AL28,'Reported Group Profit and Loss'!$1:$1,0)),"")</f>
        <v>4.6889326721427427E-2</v>
      </c>
      <c r="AM29" s="318">
        <f>IFERROR(INDEX('Reported Group Profit and Loss'!$A:$ABD,MATCH($AA29,'Reported Group Profit and Loss'!$B:$B,0),MATCH(AM28,'Reported Group Profit and Loss'!$1:$1,0)),"")</f>
        <v>5.2486907821364559E-2</v>
      </c>
      <c r="AN29" s="318">
        <f>IFERROR(INDEX('Reported Group Profit and Loss'!$A:$ABD,MATCH($AA29,'Reported Group Profit and Loss'!$B:$B,0),MATCH(AN28,'Reported Group Profit and Loss'!$1:$1,0)),"")</f>
        <v>3.8391877611312797E-2</v>
      </c>
      <c r="AO29" s="318">
        <f>IFERROR(INDEX('Reported Group Profit and Loss'!$A:$ABD,MATCH($AA29,'Reported Group Profit and Loss'!$B:$B,0),MATCH(AO28,'Reported Group Profit and Loss'!$1:$1,0)),"")</f>
        <v>6.4305917586378047E-3</v>
      </c>
      <c r="AP29" s="318">
        <f>IFERROR(INDEX('Reported Group Profit and Loss'!$A:$ABD,MATCH($AA29,'Reported Group Profit and Loss'!$B:$B,0),MATCH(AP28,'Reported Group Profit and Loss'!$1:$1,0)),"")</f>
        <v>4.1174963285841359E-2</v>
      </c>
      <c r="AQ29" s="318">
        <f>IFERROR(INDEX('Reported Group Profit and Loss'!$A:$ABD,MATCH($AA29,'Reported Group Profit and Loss'!$B:$B,0),MATCH(AQ28,'Reported Group Profit and Loss'!$1:$1,0)),"")</f>
        <v>-1.0958418346419418E-2</v>
      </c>
      <c r="AR29" s="318">
        <f>IFERROR(INDEX('Reported Group Profit and Loss'!$A:$ABD,MATCH($AA29,'Reported Group Profit and Loss'!$B:$B,0),MATCH(AR28,'Reported Group Profit and Loss'!$1:$1,0)),"")</f>
        <v>2.5822626303706908E-2</v>
      </c>
      <c r="AS29" s="318">
        <f>IFERROR(INDEX('Reported Group Profit and Loss'!$A:$ABD,MATCH($AA29,'Reported Group Profit and Loss'!$B:$B,0),MATCH(AS28,'Reported Group Profit and Loss'!$1:$1,0)),"")</f>
        <v>-1.1040890157097305E-2</v>
      </c>
      <c r="AT29" s="318">
        <f>IFERROR(INDEX('Reported Group Profit and Loss'!$A:$ABD,MATCH($AA29,'Reported Group Profit and Loss'!$B:$B,0),MATCH(AT28,'Reported Group Profit and Loss'!$1:$1,0)),"")</f>
        <v>2.5158244540563368E-2</v>
      </c>
      <c r="AU29" s="318">
        <f>IFERROR(INDEX('Reported Group Profit and Loss'!$A:$ABD,MATCH($AA29,'Reported Group Profit and Loss'!$B:$B,0),MATCH(AU28,'Reported Group Profit and Loss'!$1:$1,0)),"")</f>
        <v>7.3529903601501356E-2</v>
      </c>
    </row>
    <row r="30" spans="1:47">
      <c r="A30" s="49"/>
      <c r="B30" s="49"/>
      <c r="C30" s="49"/>
      <c r="D30" s="49"/>
      <c r="E30" s="49"/>
      <c r="F30" s="49"/>
      <c r="G30" s="49"/>
      <c r="H30" s="49"/>
      <c r="I30" s="49"/>
      <c r="J30" s="49"/>
      <c r="K30" s="49"/>
      <c r="L30" s="49"/>
      <c r="M30" s="49"/>
      <c r="N30" s="49"/>
      <c r="O30" s="49"/>
      <c r="P30" s="49"/>
      <c r="Q30" s="49"/>
      <c r="R30" s="49"/>
      <c r="S30" s="49"/>
      <c r="T30" s="49"/>
      <c r="U30" s="49"/>
      <c r="V30" s="49"/>
      <c r="W30" s="49"/>
    </row>
    <row r="31" spans="1:47">
      <c r="A31" s="49"/>
      <c r="B31" s="49"/>
      <c r="C31" s="49"/>
      <c r="D31" s="49"/>
      <c r="E31" s="49"/>
      <c r="F31" s="49"/>
      <c r="G31" s="49"/>
      <c r="H31" s="49"/>
      <c r="I31" s="49"/>
      <c r="J31" s="49"/>
      <c r="K31" s="49"/>
      <c r="L31" s="49"/>
      <c r="M31" s="49"/>
      <c r="N31" s="49"/>
      <c r="O31" s="49"/>
      <c r="P31" s="49"/>
      <c r="Q31" s="49"/>
      <c r="R31" s="49"/>
      <c r="S31" s="49"/>
      <c r="T31" s="49"/>
      <c r="U31" s="49"/>
      <c r="V31" s="49"/>
      <c r="W31" s="49"/>
    </row>
    <row r="32" spans="1:47">
      <c r="A32" s="49"/>
      <c r="B32" s="49"/>
      <c r="C32" s="49"/>
      <c r="D32" s="49"/>
      <c r="E32" s="49"/>
      <c r="F32" s="49"/>
      <c r="G32" s="49"/>
      <c r="H32" s="49"/>
      <c r="I32" s="49"/>
      <c r="J32" s="49"/>
      <c r="K32" s="49"/>
      <c r="L32" s="49"/>
      <c r="M32" s="49"/>
      <c r="N32" s="49"/>
      <c r="O32" s="49"/>
      <c r="P32" s="49"/>
      <c r="Q32" s="49"/>
      <c r="R32" s="49"/>
      <c r="S32" s="49"/>
      <c r="T32" s="49"/>
      <c r="U32" s="49"/>
      <c r="V32" s="49"/>
      <c r="W32" s="49"/>
    </row>
    <row r="33" spans="1:46">
      <c r="A33" s="49"/>
      <c r="B33" s="49"/>
      <c r="C33" s="49"/>
      <c r="D33" s="49"/>
      <c r="E33" s="49"/>
      <c r="F33" s="49"/>
      <c r="G33" s="49"/>
      <c r="H33" s="49"/>
      <c r="I33" s="49"/>
      <c r="J33" s="49"/>
      <c r="K33" s="49"/>
      <c r="L33" s="49"/>
      <c r="M33" s="49"/>
      <c r="N33" s="49"/>
      <c r="O33" s="49"/>
      <c r="P33" s="49"/>
      <c r="Q33" s="49"/>
      <c r="R33" s="49"/>
      <c r="S33" s="49"/>
      <c r="T33" s="49"/>
      <c r="U33" s="49"/>
      <c r="V33" s="49"/>
      <c r="W33" s="49"/>
    </row>
    <row r="34" spans="1:46">
      <c r="A34" s="49"/>
      <c r="B34" s="49"/>
      <c r="C34" s="49"/>
      <c r="D34" s="49"/>
      <c r="E34" s="49"/>
      <c r="F34" s="49"/>
      <c r="G34" s="49"/>
      <c r="H34" s="49"/>
      <c r="I34" s="49"/>
      <c r="J34" s="49"/>
      <c r="K34" s="49"/>
      <c r="L34" s="49"/>
      <c r="M34" s="49"/>
      <c r="N34" s="49"/>
      <c r="O34" s="49"/>
      <c r="P34" s="49"/>
      <c r="Q34" s="49"/>
      <c r="R34" s="49"/>
      <c r="S34" s="49"/>
      <c r="T34" s="49"/>
      <c r="U34" s="49"/>
      <c r="V34" s="49"/>
      <c r="W34" s="49"/>
    </row>
    <row r="35" spans="1:46">
      <c r="A35" s="49"/>
      <c r="B35" s="49"/>
      <c r="C35" s="49"/>
      <c r="D35" s="49"/>
      <c r="E35" s="49"/>
      <c r="F35" s="49"/>
      <c r="G35" s="49"/>
      <c r="H35" s="49"/>
      <c r="I35" s="49"/>
      <c r="J35" s="49"/>
      <c r="K35" s="49"/>
      <c r="L35" s="49"/>
      <c r="M35" s="49"/>
      <c r="N35" s="49"/>
      <c r="O35" s="49"/>
      <c r="P35" s="49"/>
      <c r="Q35" s="49"/>
      <c r="R35" s="49"/>
      <c r="S35" s="49"/>
      <c r="T35" s="49"/>
      <c r="U35" s="49"/>
      <c r="V35" s="49"/>
      <c r="W35" s="49"/>
    </row>
    <row r="36" spans="1:46">
      <c r="A36" s="49" t="s">
        <v>601</v>
      </c>
      <c r="B36" s="49"/>
      <c r="C36" s="49"/>
      <c r="D36" s="49"/>
      <c r="E36" s="49"/>
      <c r="F36" s="49"/>
      <c r="G36" s="49"/>
      <c r="H36" s="49"/>
      <c r="I36" s="49"/>
      <c r="J36" s="49"/>
      <c r="K36" s="49"/>
      <c r="L36" s="49"/>
      <c r="M36" s="49"/>
      <c r="N36" s="49"/>
      <c r="O36" s="49"/>
      <c r="P36" s="49"/>
      <c r="Q36" s="49"/>
      <c r="R36" s="49"/>
      <c r="S36" s="49"/>
      <c r="T36" s="49"/>
      <c r="U36" s="49"/>
      <c r="V36" s="49"/>
      <c r="W36" s="49"/>
    </row>
    <row r="37" spans="1:46">
      <c r="A37" s="49"/>
      <c r="B37" s="49"/>
      <c r="C37" s="49"/>
      <c r="D37" s="49"/>
      <c r="E37" s="49"/>
      <c r="F37" s="49"/>
      <c r="G37" s="49"/>
      <c r="H37" s="49"/>
      <c r="I37" s="49"/>
      <c r="J37" s="49"/>
      <c r="K37" s="49"/>
      <c r="L37" s="49"/>
      <c r="M37" s="49"/>
      <c r="N37" s="49"/>
      <c r="O37" s="49"/>
      <c r="P37" s="49"/>
      <c r="Q37" s="49"/>
      <c r="R37" s="49"/>
      <c r="S37" s="49"/>
      <c r="T37" s="49"/>
      <c r="U37" s="49"/>
      <c r="V37" s="49"/>
      <c r="W37" s="49"/>
    </row>
    <row r="38" spans="1:46">
      <c r="A38" s="1" t="s">
        <v>445</v>
      </c>
      <c r="B38" s="1" t="s">
        <v>457</v>
      </c>
      <c r="C38" s="1"/>
      <c r="D38" s="1"/>
      <c r="E38" s="1"/>
      <c r="F38" s="1"/>
      <c r="G38" s="1"/>
      <c r="H38" s="1"/>
      <c r="I38" s="1"/>
      <c r="J38" s="1"/>
      <c r="K38" s="1" t="s">
        <v>446</v>
      </c>
      <c r="L38" s="1" t="s">
        <v>458</v>
      </c>
      <c r="M38" s="1"/>
      <c r="N38" s="1"/>
      <c r="O38" s="1"/>
      <c r="P38" s="1"/>
      <c r="Q38" s="1"/>
      <c r="R38" s="1"/>
      <c r="S38" s="1"/>
      <c r="T38" s="1"/>
      <c r="U38" s="49"/>
      <c r="V38" s="49"/>
      <c r="W38" s="49"/>
    </row>
    <row r="39" spans="1:46">
      <c r="A39" s="49"/>
      <c r="B39" s="49"/>
      <c r="C39" s="49"/>
      <c r="D39" s="49"/>
      <c r="E39" s="49"/>
      <c r="F39" s="49"/>
      <c r="G39" s="49"/>
      <c r="H39" s="49"/>
      <c r="I39" s="49"/>
      <c r="J39" s="49"/>
      <c r="K39" s="49"/>
      <c r="L39" s="49"/>
      <c r="M39" s="49"/>
      <c r="N39" s="49"/>
      <c r="O39" s="49"/>
      <c r="P39" s="49"/>
      <c r="Q39" s="49"/>
      <c r="R39" s="49"/>
      <c r="S39" s="49"/>
      <c r="T39" s="49"/>
      <c r="U39" s="49"/>
      <c r="V39" s="49"/>
      <c r="W39" s="49"/>
    </row>
    <row r="40" spans="1:46">
      <c r="A40" s="49"/>
      <c r="B40" s="49"/>
      <c r="C40" s="49"/>
      <c r="D40" s="49"/>
      <c r="E40" s="49"/>
      <c r="F40" s="49"/>
      <c r="G40" s="49"/>
      <c r="H40" s="49"/>
      <c r="I40" s="49"/>
      <c r="J40" s="49"/>
      <c r="K40" s="49"/>
      <c r="L40" s="49"/>
      <c r="M40" s="49"/>
      <c r="N40" s="49"/>
      <c r="O40" s="49"/>
      <c r="P40" s="49"/>
      <c r="Q40" s="49"/>
      <c r="R40" s="49"/>
      <c r="S40" s="49"/>
      <c r="T40" s="49"/>
      <c r="U40" s="49"/>
      <c r="V40" s="49"/>
      <c r="W40" s="49"/>
    </row>
    <row r="41" spans="1:46">
      <c r="A41" s="49"/>
      <c r="B41" s="49"/>
      <c r="C41" s="49"/>
      <c r="D41" s="49"/>
      <c r="E41" s="49"/>
      <c r="F41" s="49"/>
      <c r="G41" s="49"/>
      <c r="H41" s="49"/>
      <c r="I41" s="49"/>
      <c r="J41" s="49"/>
      <c r="K41" s="49"/>
      <c r="L41" s="49"/>
      <c r="M41" s="49"/>
      <c r="N41" s="49"/>
      <c r="O41" s="49"/>
      <c r="P41" s="49"/>
      <c r="Q41" s="49"/>
      <c r="R41" s="49"/>
      <c r="S41" s="49"/>
      <c r="T41" s="49"/>
      <c r="U41" s="49"/>
      <c r="V41" s="49"/>
      <c r="W41" s="49"/>
    </row>
    <row r="42" spans="1:46">
      <c r="A42" s="49"/>
      <c r="B42" s="49"/>
      <c r="C42" s="49"/>
      <c r="D42" s="49"/>
      <c r="E42" s="49"/>
      <c r="F42" s="49"/>
      <c r="G42" s="49"/>
      <c r="H42" s="49"/>
      <c r="I42" s="49"/>
      <c r="J42" s="49"/>
      <c r="K42" s="49"/>
      <c r="L42" s="49"/>
      <c r="M42" s="49"/>
      <c r="N42" s="49"/>
      <c r="O42" s="49"/>
      <c r="P42" s="49"/>
      <c r="Q42" s="49"/>
      <c r="R42" s="49"/>
      <c r="S42" s="49"/>
      <c r="T42" s="49"/>
      <c r="U42" s="49"/>
      <c r="V42" s="49"/>
      <c r="W42" s="49"/>
      <c r="AB42" s="303">
        <f>VLOOKUP(AB43,Dates!$A:$D,2,FALSE)</f>
        <v>54</v>
      </c>
      <c r="AC42" s="303"/>
      <c r="AD42" s="303"/>
      <c r="AE42" s="303"/>
      <c r="AF42" s="303"/>
      <c r="AG42" s="303"/>
      <c r="AI42" s="303">
        <f>VLOOKUP(AI43,Dates!$A:$D,2,FALSE)</f>
        <v>54</v>
      </c>
      <c r="AJ42" s="303"/>
      <c r="AK42" s="303"/>
      <c r="AL42" s="303"/>
      <c r="AM42" s="303"/>
      <c r="AN42" s="303"/>
      <c r="AO42" s="303"/>
      <c r="AP42" s="303"/>
      <c r="AQ42" s="303"/>
      <c r="AR42" s="303"/>
      <c r="AS42" s="303"/>
      <c r="AT42" s="303"/>
    </row>
    <row r="43" spans="1:46">
      <c r="A43" s="49"/>
      <c r="B43" s="49"/>
      <c r="C43" s="49"/>
      <c r="D43" s="49"/>
      <c r="E43" s="49"/>
      <c r="F43" s="49"/>
      <c r="G43" s="49"/>
      <c r="H43" s="49"/>
      <c r="I43" s="49"/>
      <c r="J43" s="49"/>
      <c r="K43" s="49"/>
      <c r="L43" s="49"/>
      <c r="M43" s="49"/>
      <c r="N43" s="49"/>
      <c r="O43" s="49"/>
      <c r="P43" s="49"/>
      <c r="Q43" s="49"/>
      <c r="R43" s="49"/>
      <c r="S43" s="49"/>
      <c r="T43" s="49"/>
      <c r="U43" s="49"/>
      <c r="V43" s="49"/>
      <c r="W43" s="49"/>
      <c r="AB43" s="315" t="str">
        <f>$G$3</f>
        <v>2Q25</v>
      </c>
      <c r="AC43" s="303"/>
      <c r="AD43" s="303"/>
      <c r="AE43" s="303"/>
      <c r="AF43" s="303"/>
      <c r="AG43" s="303"/>
      <c r="AI43" s="315" t="str">
        <f>$G$3</f>
        <v>2Q25</v>
      </c>
      <c r="AJ43" s="303"/>
      <c r="AK43" s="303"/>
      <c r="AL43" s="303"/>
      <c r="AM43" s="303"/>
      <c r="AN43" s="303"/>
      <c r="AO43" s="303"/>
      <c r="AP43" s="303"/>
      <c r="AQ43" s="303"/>
      <c r="AR43" s="303"/>
      <c r="AS43" s="303"/>
      <c r="AT43" s="303"/>
    </row>
    <row r="44" spans="1:46">
      <c r="A44" s="49"/>
      <c r="B44" s="49"/>
      <c r="C44" s="49"/>
      <c r="D44" s="49"/>
      <c r="E44" s="49"/>
      <c r="F44" s="49"/>
      <c r="G44" s="49"/>
      <c r="H44" s="49"/>
      <c r="I44" s="49"/>
      <c r="J44" s="49"/>
      <c r="K44" s="49"/>
      <c r="L44" s="49"/>
      <c r="M44" s="49"/>
      <c r="N44" s="49"/>
      <c r="O44" s="49"/>
      <c r="P44" s="49"/>
      <c r="Q44" s="49"/>
      <c r="R44" s="49"/>
      <c r="S44" s="49"/>
      <c r="T44" s="49"/>
      <c r="U44" s="49"/>
      <c r="V44" s="49"/>
      <c r="W44" s="49"/>
      <c r="AA44" s="316" t="str">
        <f>'Revenue, EBITDA, capex breakout'!A4</f>
        <v>Domestic Mobile</v>
      </c>
      <c r="AB44" s="317">
        <f>IFERROR(INDEX('Revenue, EBITDA, capex breakout'!$A:$ABB,MATCH($AA44,'Revenue, EBITDA, capex breakout'!$A:$A,0),MATCH(AB43,'Revenue, EBITDA, capex breakout'!$1:$1,0)),"")</f>
        <v>248371</v>
      </c>
      <c r="AC44" s="317"/>
      <c r="AD44" s="317"/>
      <c r="AE44" s="317"/>
      <c r="AF44" s="317"/>
      <c r="AG44" s="317"/>
      <c r="AH44" s="316" t="str">
        <f>'Revenue, EBITDA, capex breakout'!A16</f>
        <v>Domestic Mobile EBITDA</v>
      </c>
      <c r="AI44" s="317">
        <f>IFERROR(INDEX('Revenue, EBITDA, capex breakout'!$A:$ABB,MATCH($AH44,'Revenue, EBITDA, capex breakout'!$A:$A,0),MATCH(AI43,'Revenue, EBITDA, capex breakout'!$1:$1,0)),"")</f>
        <v>141710</v>
      </c>
      <c r="AJ44" s="317"/>
      <c r="AK44" s="317"/>
      <c r="AL44" s="317"/>
      <c r="AM44" s="317"/>
      <c r="AN44" s="317"/>
      <c r="AO44" s="317"/>
      <c r="AP44" s="317"/>
      <c r="AQ44" s="317"/>
      <c r="AR44" s="317"/>
      <c r="AS44" s="317"/>
      <c r="AT44" s="317"/>
    </row>
    <row r="45" spans="1:46">
      <c r="A45" s="49"/>
      <c r="B45" s="49"/>
      <c r="C45" s="49"/>
      <c r="D45" s="49"/>
      <c r="E45" s="49"/>
      <c r="F45" s="49"/>
      <c r="G45" s="49"/>
      <c r="H45" s="49"/>
      <c r="I45" s="49"/>
      <c r="J45" s="49"/>
      <c r="K45" s="49"/>
      <c r="L45" s="49"/>
      <c r="M45" s="49"/>
      <c r="N45" s="49"/>
      <c r="O45" s="49"/>
      <c r="P45" s="49"/>
      <c r="Q45" s="49"/>
      <c r="R45" s="49"/>
      <c r="S45" s="49"/>
      <c r="T45" s="49"/>
      <c r="U45" s="49"/>
      <c r="V45" s="49"/>
      <c r="W45" s="49"/>
      <c r="AA45" s="316" t="str">
        <f>'Revenue, EBITDA, capex breakout'!A5</f>
        <v>Homes Services</v>
      </c>
      <c r="AB45" s="317">
        <f>IFERROR(INDEX('Revenue, EBITDA, capex breakout'!$A:$ABB,MATCH($AA45,'Revenue, EBITDA, capex breakout'!$A:$A,0),MATCH(AB43,'Revenue, EBITDA, capex breakout'!$1:$1,0)),"")</f>
        <v>14321</v>
      </c>
      <c r="AH45" s="316" t="str">
        <f>'Revenue, EBITDA, capex breakout'!A17</f>
        <v>Homes Services EBITDA</v>
      </c>
      <c r="AI45" s="317">
        <f>IFERROR(INDEX('Revenue, EBITDA, capex breakout'!$A:$ABB,MATCH($AH45,'Revenue, EBITDA, capex breakout'!$A:$A,0),MATCH(AI43,'Revenue, EBITDA, capex breakout'!$1:$1,0)),"")</f>
        <v>7203</v>
      </c>
    </row>
    <row r="46" spans="1:46">
      <c r="A46" s="49"/>
      <c r="B46" s="49"/>
      <c r="C46" s="49"/>
      <c r="D46" s="49"/>
      <c r="E46" s="49"/>
      <c r="F46" s="49"/>
      <c r="G46" s="49"/>
      <c r="H46" s="49"/>
      <c r="I46" s="49"/>
      <c r="J46" s="49"/>
      <c r="K46" s="49"/>
      <c r="L46" s="49"/>
      <c r="M46" s="49"/>
      <c r="N46" s="49"/>
      <c r="O46" s="49"/>
      <c r="P46" s="49"/>
      <c r="Q46" s="49"/>
      <c r="R46" s="49"/>
      <c r="S46" s="49"/>
      <c r="T46" s="49"/>
      <c r="U46" s="49"/>
      <c r="V46" s="49"/>
      <c r="W46" s="49"/>
      <c r="AA46" s="316" t="str">
        <f>'Revenue, EBITDA, capex breakout'!A6</f>
        <v>Digital TV</v>
      </c>
      <c r="AB46" s="317">
        <f>IFERROR(INDEX('Revenue, EBITDA, capex breakout'!$A:$ABB,MATCH($AA46,'Revenue, EBITDA, capex breakout'!$A:$A,0),MATCH(AB43,'Revenue, EBITDA, capex breakout'!$1:$1,0)),"")</f>
        <v>7586</v>
      </c>
      <c r="AH46" s="316" t="str">
        <f>'Revenue, EBITDA, capex breakout'!A18</f>
        <v>Digital TV EBITDA</v>
      </c>
      <c r="AI46" s="317">
        <f>IFERROR(INDEX('Revenue, EBITDA, capex breakout'!$A:$ABB,MATCH($AH46,'Revenue, EBITDA, capex breakout'!$A:$A,0),MATCH(AI43,'Revenue, EBITDA, capex breakout'!$1:$1,0)),"")</f>
        <v>4243</v>
      </c>
    </row>
    <row r="47" spans="1:46">
      <c r="A47" s="49"/>
      <c r="B47" s="49"/>
      <c r="C47" s="49"/>
      <c r="D47" s="49"/>
      <c r="E47" s="49"/>
      <c r="F47" s="49"/>
      <c r="G47" s="49"/>
      <c r="H47" s="49"/>
      <c r="I47" s="49"/>
      <c r="J47" s="49"/>
      <c r="K47" s="49"/>
      <c r="L47" s="49"/>
      <c r="M47" s="49"/>
      <c r="N47" s="49"/>
      <c r="O47" s="49"/>
      <c r="P47" s="49"/>
      <c r="Q47" s="49"/>
      <c r="R47" s="49"/>
      <c r="S47" s="49"/>
      <c r="T47" s="49"/>
      <c r="U47" s="49"/>
      <c r="V47" s="49"/>
      <c r="W47" s="49"/>
      <c r="AA47" s="316" t="str">
        <f>'Revenue, EBITDA, capex breakout'!A7</f>
        <v>Airtel Enterprise</v>
      </c>
      <c r="AB47" s="317">
        <f>IFERROR(INDEX('Revenue, EBITDA, capex breakout'!$A:$ABB,MATCH($AA47,'Revenue, EBITDA, capex breakout'!$A:$A,0),MATCH(AB43,'Revenue, EBITDA, capex breakout'!$1:$1,0)),"")</f>
        <v>56555</v>
      </c>
      <c r="AH47" s="316" t="str">
        <f>'Revenue, EBITDA, capex breakout'!A19</f>
        <v>Airtel Enterprise EBITDA</v>
      </c>
      <c r="AI47" s="317">
        <f>IFERROR(INDEX('Revenue, EBITDA, capex breakout'!$A:$ABB,MATCH($AH47,'Revenue, EBITDA, capex breakout'!$A:$A,0),MATCH(AI43,'Revenue, EBITDA, capex breakout'!$1:$1,0)),"")</f>
        <v>20208</v>
      </c>
    </row>
    <row r="48" spans="1:46">
      <c r="A48" s="49"/>
      <c r="B48" s="49"/>
      <c r="C48" s="49"/>
      <c r="D48" s="49"/>
      <c r="E48" s="49"/>
      <c r="F48" s="49"/>
      <c r="G48" s="49"/>
      <c r="H48" s="49"/>
      <c r="I48" s="49"/>
      <c r="J48" s="49"/>
      <c r="K48" s="49"/>
      <c r="L48" s="49"/>
      <c r="M48" s="49"/>
      <c r="N48" s="49"/>
      <c r="O48" s="49"/>
      <c r="P48" s="49"/>
      <c r="Q48" s="49"/>
      <c r="R48" s="49"/>
      <c r="S48" s="49"/>
      <c r="T48" s="49"/>
      <c r="U48" s="49"/>
      <c r="V48" s="49"/>
      <c r="W48" s="49"/>
      <c r="AA48" s="316" t="str">
        <f>'Revenue, EBITDA, capex breakout'!A8</f>
        <v>Tower Infratructure</v>
      </c>
      <c r="AB48" s="317">
        <f>IFERROR(INDEX('Revenue, EBITDA, capex breakout'!$A:$ABB,MATCH($AA48,'Revenue, EBITDA, capex breakout'!$A:$A,0),MATCH(AB43,'Revenue, EBITDA, capex breakout'!$1:$1,0)),"")</f>
        <v>0</v>
      </c>
      <c r="AH48" s="316" t="str">
        <f>'Revenue, EBITDA, capex breakout'!A20</f>
        <v>Tower Infratructure EBITDA</v>
      </c>
      <c r="AI48" s="317">
        <f>IFERROR(INDEX('Revenue, EBITDA, capex breakout'!$A:$ABB,MATCH($AH48,'Revenue, EBITDA, capex breakout'!$A:$A,0),MATCH(AI43,'Revenue, EBITDA, capex breakout'!$1:$1,0)),"")</f>
        <v>0</v>
      </c>
    </row>
    <row r="49" spans="1:47">
      <c r="A49" s="49"/>
      <c r="B49" s="49"/>
      <c r="C49" s="49"/>
      <c r="D49" s="49"/>
      <c r="E49" s="49"/>
      <c r="F49" s="49"/>
      <c r="G49" s="49"/>
      <c r="H49" s="49"/>
      <c r="I49" s="49"/>
      <c r="J49" s="49"/>
      <c r="K49" s="49"/>
      <c r="L49" s="49"/>
      <c r="M49" s="49"/>
      <c r="N49" s="49"/>
      <c r="O49" s="49"/>
      <c r="P49" s="49"/>
      <c r="Q49" s="49"/>
      <c r="R49" s="49"/>
      <c r="S49" s="49"/>
      <c r="T49" s="49"/>
      <c r="U49" s="49"/>
      <c r="V49" s="49"/>
      <c r="W49" s="49"/>
      <c r="AA49" s="316" t="str">
        <f>'Revenue, EBITDA, capex breakout'!A9</f>
        <v>South Asia</v>
      </c>
      <c r="AB49" s="317">
        <f>IFERROR(INDEX('Revenue, EBITDA, capex breakout'!$A:$ABB,MATCH($AA49,'Revenue, EBITDA, capex breakout'!$A:$A,0),MATCH(AB43,'Revenue, EBITDA, capex breakout'!$1:$1,0)),"")</f>
        <v>0</v>
      </c>
      <c r="AH49" s="316" t="str">
        <f>'Revenue, EBITDA, capex breakout'!A21</f>
        <v>South Asia EBITDA</v>
      </c>
      <c r="AI49" s="317">
        <f>IFERROR(INDEX('Revenue, EBITDA, capex breakout'!$A:$ABB,MATCH($AH49,'Revenue, EBITDA, capex breakout'!$A:$A,0),MATCH(AI43,'Revenue, EBITDA, capex breakout'!$1:$1,0)),"")</f>
        <v>0</v>
      </c>
    </row>
    <row r="50" spans="1:47">
      <c r="A50" s="49"/>
      <c r="B50" s="49"/>
      <c r="C50" s="49"/>
      <c r="D50" s="49"/>
      <c r="E50" s="49"/>
      <c r="F50" s="49"/>
      <c r="G50" s="49"/>
      <c r="H50" s="49"/>
      <c r="I50" s="49"/>
      <c r="J50" s="49"/>
      <c r="K50" s="49"/>
      <c r="L50" s="49"/>
      <c r="M50" s="49"/>
      <c r="N50" s="49"/>
      <c r="O50" s="49"/>
      <c r="P50" s="49"/>
      <c r="Q50" s="49"/>
      <c r="R50" s="49"/>
      <c r="S50" s="49"/>
      <c r="T50" s="49"/>
      <c r="U50" s="49"/>
      <c r="V50" s="49"/>
      <c r="W50" s="49"/>
      <c r="AA50" s="316" t="str">
        <f>'Revenue, EBITDA, capex breakout'!A10</f>
        <v>Africa</v>
      </c>
      <c r="AB50" s="317">
        <f>IFERROR(INDEX('Revenue, EBITDA, capex breakout'!$A:$ABB,MATCH($AA50,'Revenue, EBITDA, capex breakout'!$A:$A,0),MATCH(AB43,'Revenue, EBITDA, capex breakout'!$1:$1,0)),"")</f>
        <v>101631.1571631609</v>
      </c>
      <c r="AH50" s="316" t="str">
        <f>'Revenue, EBITDA, capex breakout'!A22</f>
        <v>Africa EBITDA</v>
      </c>
      <c r="AI50" s="317">
        <f>IFERROR(INDEX('Revenue, EBITDA, capex breakout'!$A:$ABB,MATCH($AH50,'Revenue, EBITDA, capex breakout'!$A:$A,0),MATCH(AI43,'Revenue, EBITDA, capex breakout'!$1:$1,0)),"")</f>
        <v>47258.500766475518</v>
      </c>
    </row>
    <row r="51" spans="1:47">
      <c r="A51" s="49"/>
      <c r="B51" s="49"/>
      <c r="C51" s="49"/>
      <c r="D51" s="49"/>
      <c r="E51" s="49"/>
      <c r="F51" s="49"/>
      <c r="G51" s="49"/>
      <c r="H51" s="49"/>
      <c r="I51" s="49"/>
      <c r="J51" s="49"/>
      <c r="K51" s="49"/>
      <c r="L51" s="49"/>
      <c r="M51" s="49"/>
      <c r="N51" s="49"/>
      <c r="O51" s="49"/>
      <c r="P51" s="49"/>
      <c r="Q51" s="49"/>
      <c r="R51" s="49"/>
      <c r="S51" s="49"/>
      <c r="T51" s="49"/>
      <c r="U51" s="49"/>
      <c r="V51" s="49"/>
      <c r="W51" s="49"/>
    </row>
    <row r="52" spans="1:47">
      <c r="A52" s="49"/>
      <c r="B52" s="49"/>
      <c r="C52" s="49"/>
      <c r="D52" s="49"/>
      <c r="E52" s="49"/>
      <c r="F52" s="49"/>
      <c r="G52" s="49"/>
      <c r="H52" s="49"/>
      <c r="I52" s="49"/>
      <c r="J52" s="49"/>
      <c r="K52" s="49"/>
      <c r="L52" s="49"/>
      <c r="M52" s="49"/>
      <c r="N52" s="49"/>
      <c r="O52" s="49"/>
      <c r="P52" s="49"/>
      <c r="Q52" s="49"/>
      <c r="R52" s="49"/>
      <c r="S52" s="49"/>
      <c r="T52" s="49"/>
      <c r="U52" s="49"/>
      <c r="V52" s="49"/>
      <c r="W52" s="49"/>
    </row>
    <row r="53" spans="1:47">
      <c r="A53" s="49"/>
      <c r="B53" s="49"/>
      <c r="C53" s="49"/>
      <c r="D53" s="49"/>
      <c r="E53" s="49"/>
      <c r="F53" s="49"/>
      <c r="G53" s="49"/>
      <c r="H53" s="49"/>
      <c r="I53" s="49"/>
      <c r="J53" s="49"/>
      <c r="K53" s="49"/>
      <c r="L53" s="49"/>
      <c r="M53" s="49"/>
      <c r="N53" s="49"/>
      <c r="O53" s="49"/>
      <c r="P53" s="49"/>
      <c r="Q53" s="49"/>
      <c r="R53" s="49"/>
      <c r="S53" s="49"/>
      <c r="T53" s="49"/>
      <c r="U53" s="49"/>
      <c r="V53" s="49"/>
      <c r="W53" s="49"/>
    </row>
    <row r="54" spans="1:47">
      <c r="A54" s="49"/>
      <c r="B54" s="49"/>
      <c r="C54" s="49"/>
      <c r="D54" s="49"/>
      <c r="E54" s="49"/>
      <c r="F54" s="49"/>
      <c r="G54" s="49"/>
      <c r="H54" s="49"/>
      <c r="I54" s="49"/>
      <c r="J54" s="49"/>
      <c r="K54" s="49"/>
      <c r="L54" s="49"/>
      <c r="M54" s="49"/>
      <c r="N54" s="49"/>
      <c r="O54" s="49"/>
      <c r="P54" s="49"/>
      <c r="Q54" s="49"/>
      <c r="R54" s="49"/>
      <c r="S54" s="49"/>
      <c r="T54" s="49"/>
      <c r="U54" s="49"/>
      <c r="V54" s="49"/>
      <c r="W54" s="49"/>
    </row>
    <row r="55" spans="1:47">
      <c r="A55" s="49"/>
      <c r="B55" s="49"/>
      <c r="C55" s="49"/>
      <c r="D55" s="49"/>
      <c r="E55" s="49"/>
      <c r="F55" s="49"/>
      <c r="G55" s="49"/>
      <c r="H55" s="49"/>
      <c r="I55" s="49"/>
      <c r="J55" s="49"/>
      <c r="K55" s="49"/>
      <c r="L55" s="49"/>
      <c r="M55" s="49"/>
      <c r="N55" s="49"/>
      <c r="O55" s="49"/>
      <c r="P55" s="49"/>
      <c r="Q55" s="49"/>
      <c r="R55" s="49"/>
      <c r="S55" s="49"/>
      <c r="T55" s="49"/>
      <c r="U55" s="49"/>
      <c r="V55" s="49"/>
      <c r="W55" s="49"/>
    </row>
    <row r="56" spans="1:47">
      <c r="A56" s="49"/>
      <c r="B56" s="49"/>
      <c r="C56" s="49"/>
      <c r="D56" s="49"/>
      <c r="E56" s="49"/>
      <c r="F56" s="49"/>
      <c r="G56" s="49"/>
      <c r="H56" s="49"/>
      <c r="I56" s="49"/>
      <c r="J56" s="49"/>
      <c r="K56" s="49"/>
      <c r="L56" s="49"/>
      <c r="M56" s="49"/>
      <c r="N56" s="49"/>
      <c r="O56" s="49"/>
      <c r="P56" s="49"/>
      <c r="Q56" s="49"/>
      <c r="R56" s="49"/>
      <c r="S56" s="49"/>
      <c r="T56" s="49"/>
      <c r="U56" s="49"/>
      <c r="V56" s="49"/>
      <c r="W56" s="49"/>
    </row>
    <row r="57" spans="1:47">
      <c r="A57" s="49" t="s">
        <v>501</v>
      </c>
      <c r="B57" s="49"/>
      <c r="C57" s="49"/>
      <c r="D57" s="49"/>
      <c r="E57" s="49"/>
      <c r="F57" s="49"/>
      <c r="G57" s="49"/>
      <c r="H57" s="49"/>
      <c r="I57" s="49"/>
      <c r="J57" s="49"/>
      <c r="K57" s="49"/>
      <c r="L57" s="49"/>
      <c r="M57" s="49"/>
      <c r="N57" s="49"/>
      <c r="O57" s="49"/>
      <c r="P57" s="49"/>
      <c r="Q57" s="49"/>
      <c r="R57" s="49"/>
      <c r="S57" s="49"/>
      <c r="T57" s="49"/>
      <c r="U57" s="49"/>
      <c r="V57" s="49"/>
      <c r="W57" s="49"/>
    </row>
    <row r="58" spans="1:47">
      <c r="A58" s="1" t="s">
        <v>447</v>
      </c>
      <c r="B58" s="1" t="s">
        <v>566</v>
      </c>
      <c r="C58" s="1"/>
      <c r="D58" s="1"/>
      <c r="E58" s="1"/>
      <c r="F58" s="1"/>
      <c r="G58" s="1"/>
      <c r="H58" s="1"/>
      <c r="I58" s="1"/>
      <c r="J58" s="1"/>
      <c r="K58" s="1" t="s">
        <v>448</v>
      </c>
      <c r="L58" s="1" t="s">
        <v>551</v>
      </c>
      <c r="M58" s="1"/>
      <c r="N58" s="1"/>
      <c r="O58" s="1"/>
      <c r="P58" s="1"/>
      <c r="Q58" s="1"/>
      <c r="R58" s="1"/>
      <c r="S58" s="1"/>
      <c r="T58" s="1"/>
      <c r="U58" s="49"/>
      <c r="V58" s="49"/>
      <c r="W58" s="49"/>
    </row>
    <row r="59" spans="1:47">
      <c r="A59" s="49"/>
      <c r="B59" s="49"/>
      <c r="C59" s="49"/>
      <c r="D59" s="49"/>
      <c r="E59" s="49"/>
      <c r="F59" s="49"/>
      <c r="G59" s="49"/>
      <c r="H59" s="49"/>
      <c r="I59" s="49"/>
      <c r="J59" s="49"/>
      <c r="K59" s="49"/>
      <c r="L59" s="49"/>
      <c r="M59" s="49"/>
      <c r="N59" s="49"/>
      <c r="O59" s="49"/>
      <c r="P59" s="49"/>
      <c r="Q59" s="49"/>
      <c r="R59" s="49"/>
      <c r="S59" s="49"/>
      <c r="T59" s="49"/>
      <c r="U59" s="49"/>
      <c r="V59" s="49"/>
      <c r="W59" s="49"/>
    </row>
    <row r="60" spans="1:47">
      <c r="A60" s="49"/>
      <c r="B60" s="49"/>
      <c r="C60" s="49"/>
      <c r="D60" s="49"/>
      <c r="E60" s="49"/>
      <c r="F60" s="49"/>
      <c r="G60" s="49"/>
      <c r="H60" s="49"/>
      <c r="I60" s="49"/>
      <c r="J60" s="49"/>
      <c r="K60" s="49"/>
      <c r="L60" s="49"/>
      <c r="M60" s="49"/>
      <c r="N60" s="49"/>
      <c r="O60" s="49"/>
      <c r="P60" s="49"/>
      <c r="Q60" s="49"/>
      <c r="R60" s="49"/>
      <c r="S60" s="49"/>
      <c r="T60" s="49"/>
      <c r="U60" s="49"/>
      <c r="V60" s="49"/>
      <c r="W60" s="49"/>
    </row>
    <row r="61" spans="1:47">
      <c r="A61" s="49"/>
      <c r="B61" s="49"/>
      <c r="C61" s="49"/>
      <c r="D61" s="49"/>
      <c r="E61" s="49"/>
      <c r="F61" s="49"/>
      <c r="G61" s="49"/>
      <c r="H61" s="49"/>
      <c r="I61" s="49"/>
      <c r="J61" s="49"/>
      <c r="K61" s="49"/>
      <c r="L61" s="49"/>
      <c r="M61" s="49"/>
      <c r="N61" s="49"/>
      <c r="O61" s="49"/>
      <c r="P61" s="49"/>
      <c r="Q61" s="49"/>
      <c r="R61" s="49"/>
      <c r="S61" s="49"/>
      <c r="T61" s="49"/>
      <c r="U61" s="49"/>
      <c r="V61" s="49"/>
      <c r="W61" s="49"/>
      <c r="AB61" s="303">
        <f t="shared" ref="AB61" si="20">AC61-1</f>
        <v>35</v>
      </c>
      <c r="AC61" s="303">
        <f t="shared" ref="AC61" si="21">AD61-1</f>
        <v>36</v>
      </c>
      <c r="AD61" s="303">
        <f t="shared" ref="AD61" si="22">AE61-1</f>
        <v>37</v>
      </c>
      <c r="AE61" s="303">
        <f t="shared" ref="AE61" si="23">AF61-1</f>
        <v>38</v>
      </c>
      <c r="AF61" s="303">
        <f t="shared" ref="AF61" si="24">AG61-1</f>
        <v>39</v>
      </c>
      <c r="AG61" s="303">
        <f t="shared" ref="AG61" si="25">AH61-1</f>
        <v>40</v>
      </c>
      <c r="AH61" s="303">
        <f t="shared" ref="AH61" si="26">AI61-1</f>
        <v>41</v>
      </c>
      <c r="AI61" s="303">
        <f t="shared" ref="AI61" si="27">AJ61-1</f>
        <v>42</v>
      </c>
      <c r="AJ61" s="303">
        <f t="shared" ref="AJ61" si="28">AK61-1</f>
        <v>43</v>
      </c>
      <c r="AK61" s="303">
        <f t="shared" ref="AK61" si="29">AL61-1</f>
        <v>44</v>
      </c>
      <c r="AL61" s="303">
        <f t="shared" ref="AL61" si="30">AM61-1</f>
        <v>45</v>
      </c>
      <c r="AM61" s="303">
        <f t="shared" ref="AM61" si="31">AN61-1</f>
        <v>46</v>
      </c>
      <c r="AN61" s="303">
        <f t="shared" ref="AN61" si="32">AO61-1</f>
        <v>47</v>
      </c>
      <c r="AO61" s="303">
        <f t="shared" ref="AO61" si="33">AP61-1</f>
        <v>48</v>
      </c>
      <c r="AP61" s="303">
        <f t="shared" ref="AP61" si="34">AQ61-1</f>
        <v>49</v>
      </c>
      <c r="AQ61" s="303">
        <f t="shared" ref="AQ61" si="35">AR61-1</f>
        <v>50</v>
      </c>
      <c r="AR61" s="303">
        <f t="shared" ref="AR61" si="36">AS61-1</f>
        <v>51</v>
      </c>
      <c r="AS61" s="303">
        <f t="shared" ref="AS61" si="37">AT61-1</f>
        <v>52</v>
      </c>
      <c r="AT61" s="303">
        <f t="shared" ref="AT61" si="38">AU61-1</f>
        <v>53</v>
      </c>
      <c r="AU61" s="303">
        <f>VLOOKUP(AU62,Dates!$A:$D,2,FALSE)</f>
        <v>54</v>
      </c>
    </row>
    <row r="62" spans="1:47">
      <c r="A62" s="49"/>
      <c r="B62" s="49"/>
      <c r="C62" s="49"/>
      <c r="D62" s="49"/>
      <c r="E62" s="49"/>
      <c r="F62" s="49"/>
      <c r="G62" s="49"/>
      <c r="H62" s="49"/>
      <c r="I62" s="49"/>
      <c r="J62" s="49"/>
      <c r="K62" s="49"/>
      <c r="L62" s="49"/>
      <c r="M62" s="49"/>
      <c r="N62" s="49"/>
      <c r="O62" s="49"/>
      <c r="P62" s="49"/>
      <c r="Q62" s="49"/>
      <c r="R62" s="49"/>
      <c r="S62" s="49"/>
      <c r="T62" s="49"/>
      <c r="U62" s="49"/>
      <c r="V62" s="49"/>
      <c r="W62" s="49"/>
      <c r="AB62" s="303" t="str">
        <f>IFERROR(VLOOKUP(AB61,Dates!$B:$D,3,FALSE),"")</f>
        <v>3Q20</v>
      </c>
      <c r="AC62" s="303" t="str">
        <f>IFERROR(VLOOKUP(AC61,Dates!$B:$D,3,FALSE),"")</f>
        <v>4Q20</v>
      </c>
      <c r="AD62" s="303" t="str">
        <f>IFERROR(VLOOKUP(AD61,Dates!$B:$D,3,FALSE),"")</f>
        <v>1Q21</v>
      </c>
      <c r="AE62" s="303" t="str">
        <f>IFERROR(VLOOKUP(AE61,Dates!$B:$D,3,FALSE),"")</f>
        <v>2Q21</v>
      </c>
      <c r="AF62" s="303" t="str">
        <f>IFERROR(VLOOKUP(AF61,Dates!$B:$D,3,FALSE),"")</f>
        <v>3Q21</v>
      </c>
      <c r="AG62" s="303" t="str">
        <f>IFERROR(VLOOKUP(AG61,Dates!$B:$D,3,FALSE),"")</f>
        <v>4Q21</v>
      </c>
      <c r="AH62" s="303" t="str">
        <f>IFERROR(VLOOKUP(AH61,Dates!$B:$D,3,FALSE),"")</f>
        <v>1Q22</v>
      </c>
      <c r="AI62" s="303" t="str">
        <f>IFERROR(VLOOKUP(AI61,Dates!$B:$D,3,FALSE),"")</f>
        <v>2Q22</v>
      </c>
      <c r="AJ62" s="303" t="str">
        <f>IFERROR(VLOOKUP(AJ61,Dates!$B:$D,3,FALSE),"")</f>
        <v>3Q22</v>
      </c>
      <c r="AK62" s="303" t="str">
        <f>IFERROR(VLOOKUP(AK61,Dates!$B:$D,3,FALSE),"")</f>
        <v>4Q22</v>
      </c>
      <c r="AL62" s="303" t="str">
        <f>IFERROR(VLOOKUP(AL61,Dates!$B:$D,3,FALSE),"")</f>
        <v>1Q23</v>
      </c>
      <c r="AM62" s="303" t="str">
        <f>IFERROR(VLOOKUP(AM61,Dates!$B:$D,3,FALSE),"")</f>
        <v>2Q23</v>
      </c>
      <c r="AN62" s="303" t="str">
        <f>IFERROR(VLOOKUP(AN61,Dates!$B:$D,3,FALSE),"")</f>
        <v>3Q23</v>
      </c>
      <c r="AO62" s="303" t="str">
        <f>IFERROR(VLOOKUP(AO61,Dates!$B:$D,3,FALSE),"")</f>
        <v>4Q23</v>
      </c>
      <c r="AP62" s="303" t="str">
        <f>IFERROR(VLOOKUP(AP61,Dates!$B:$D,3,FALSE),"")</f>
        <v>1Q24</v>
      </c>
      <c r="AQ62" s="303" t="str">
        <f>IFERROR(VLOOKUP(AQ61,Dates!$B:$D,3,FALSE),"")</f>
        <v>2Q24</v>
      </c>
      <c r="AR62" s="303" t="str">
        <f>IFERROR(VLOOKUP(AR61,Dates!$B:$D,3,FALSE),"")</f>
        <v>3Q24</v>
      </c>
      <c r="AS62" s="303" t="str">
        <f>IFERROR(VLOOKUP(AS61,Dates!$B:$D,3,FALSE),"")</f>
        <v>4Q24</v>
      </c>
      <c r="AT62" s="303" t="str">
        <f>IFERROR(VLOOKUP(AT61,Dates!$B:$D,3,FALSE),"")</f>
        <v>1Q25</v>
      </c>
      <c r="AU62" s="315" t="str">
        <f>$G$3</f>
        <v>2Q25</v>
      </c>
    </row>
    <row r="63" spans="1:47">
      <c r="A63" s="49"/>
      <c r="B63" s="49"/>
      <c r="C63" s="49"/>
      <c r="D63" s="49"/>
      <c r="E63" s="49"/>
      <c r="F63" s="49"/>
      <c r="G63" s="49"/>
      <c r="H63" s="49"/>
      <c r="I63" s="49"/>
      <c r="J63" s="49"/>
      <c r="K63" s="49"/>
      <c r="L63" s="49"/>
      <c r="M63" s="49"/>
      <c r="N63" s="49"/>
      <c r="O63" s="49"/>
      <c r="P63" s="49"/>
      <c r="Q63" s="49"/>
      <c r="R63" s="49"/>
      <c r="S63" s="49"/>
      <c r="T63" s="49"/>
      <c r="U63" s="49"/>
      <c r="V63" s="49"/>
      <c r="W63" s="49"/>
      <c r="AA63" s="316" t="str">
        <f>'Revenue, EBITDA, capex breakout'!A25</f>
        <v>Total EBITDA</v>
      </c>
      <c r="AB63" s="317">
        <f>IFERROR(INDEX('Revenue, EBITDA, capex breakout'!$A:$ABB,MATCH($AA63,'Revenue, EBITDA, capex breakout'!$A:$A,0),MATCH(AB62,'Revenue, EBITDA, capex breakout'!$1:$1,0)),"")</f>
        <v>93500.971654773908</v>
      </c>
      <c r="AC63" s="317">
        <f>IFERROR(INDEX('Revenue, EBITDA, capex breakout'!$A:$ABB,MATCH($AA63,'Revenue, EBITDA, capex breakout'!$A:$A,0),MATCH(AC62,'Revenue, EBITDA, capex breakout'!$1:$1,0)),"")</f>
        <v>97612</v>
      </c>
      <c r="AD63" s="317">
        <f>IFERROR(INDEX('Revenue, EBITDA, capex breakout'!$A:$ABB,MATCH($AA63,'Revenue, EBITDA, capex breakout'!$A:$A,0),MATCH(AD62,'Revenue, EBITDA, capex breakout'!$1:$1,0)),"")</f>
        <v>101185.56047363298</v>
      </c>
      <c r="AE63" s="317">
        <f>IFERROR(INDEX('Revenue, EBITDA, capex breakout'!$A:$ABB,MATCH($AA63,'Revenue, EBITDA, capex breakout'!$A:$A,0),MATCH(AE62,'Revenue, EBITDA, capex breakout'!$1:$1,0)),"")</f>
        <v>112593.25666681012</v>
      </c>
      <c r="AF63" s="317">
        <f>IFERROR(INDEX('Revenue, EBITDA, capex breakout'!$A:$ABB,MATCH($AA63,'Revenue, EBITDA, capex breakout'!$A:$A,0),MATCH(AF62,'Revenue, EBITDA, capex breakout'!$1:$1,0)),"")</f>
        <v>121777.18285955691</v>
      </c>
      <c r="AG63" s="317">
        <f>IFERROR(INDEX('Revenue, EBITDA, capex breakout'!$A:$ABB,MATCH($AA63,'Revenue, EBITDA, capex breakout'!$A:$A,0),MATCH(AG62,'Revenue, EBITDA, capex breakout'!$1:$1,0)),"")</f>
        <v>125831</v>
      </c>
      <c r="AH63" s="317">
        <f>IFERROR(INDEX('Revenue, EBITDA, capex breakout'!$A:$ABB,MATCH($AA63,'Revenue, EBITDA, capex breakout'!$A:$A,0),MATCH(AH62,'Revenue, EBITDA, capex breakout'!$1:$1,0)),"")</f>
        <v>131894</v>
      </c>
      <c r="AI63" s="317">
        <f>IFERROR(INDEX('Revenue, EBITDA, capex breakout'!$A:$ABB,MATCH($AA63,'Revenue, EBITDA, capex breakout'!$A:$A,0),MATCH(AI62,'Revenue, EBITDA, capex breakout'!$1:$1,0)),"")</f>
        <v>140177</v>
      </c>
      <c r="AJ63" s="317">
        <f>IFERROR(INDEX('Revenue, EBITDA, capex breakout'!$A:$ABB,MATCH($AA63,'Revenue, EBITDA, capex breakout'!$A:$A,0),MATCH(AJ62,'Revenue, EBITDA, capex breakout'!$1:$1,0)),"")</f>
        <v>149047</v>
      </c>
      <c r="AK63" s="317">
        <f>IFERROR(INDEX('Revenue, EBITDA, capex breakout'!$A:$ABB,MATCH($AA63,'Revenue, EBITDA, capex breakout'!$A:$A,0),MATCH(AK62,'Revenue, EBITDA, capex breakout'!$1:$1,0)),"")</f>
        <v>159984</v>
      </c>
      <c r="AL63" s="317">
        <f>IFERROR(INDEX('Revenue, EBITDA, capex breakout'!$A:$ABB,MATCH($AA63,'Revenue, EBITDA, capex breakout'!$A:$A,0),MATCH(AL62,'Revenue, EBITDA, capex breakout'!$1:$1,0)),"")</f>
        <v>166044.05917511089</v>
      </c>
      <c r="AM63" s="317">
        <f>IFERROR(INDEX('Revenue, EBITDA, capex breakout'!$A:$ABB,MATCH($AA63,'Revenue, EBITDA, capex breakout'!$A:$A,0),MATCH(AM62,'Revenue, EBITDA, capex breakout'!$1:$1,0)),"")</f>
        <v>177212</v>
      </c>
      <c r="AN63" s="317">
        <f>IFERROR(INDEX('Revenue, EBITDA, capex breakout'!$A:$ABB,MATCH($AA63,'Revenue, EBITDA, capex breakout'!$A:$A,0),MATCH(AN62,'Revenue, EBITDA, capex breakout'!$1:$1,0)),"")</f>
        <v>186007.48791346012</v>
      </c>
      <c r="AO63" s="317">
        <f>IFERROR(INDEX('Revenue, EBITDA, capex breakout'!$A:$ABB,MATCH($AA63,'Revenue, EBITDA, capex breakout'!$A:$A,0),MATCH(AO62,'Revenue, EBITDA, capex breakout'!$1:$1,0)),"")</f>
        <v>188067</v>
      </c>
      <c r="AP63" s="317">
        <f>IFERROR(INDEX('Revenue, EBITDA, capex breakout'!$A:$ABB,MATCH($AA63,'Revenue, EBITDA, capex breakout'!$A:$A,0),MATCH(AP62,'Revenue, EBITDA, capex breakout'!$1:$1,0)),"")</f>
        <v>197461</v>
      </c>
      <c r="AQ63" s="317">
        <f>IFERROR(INDEX('Revenue, EBITDA, capex breakout'!$A:$ABB,MATCH($AA63,'Revenue, EBITDA, capex breakout'!$A:$A,0),MATCH(AQ62,'Revenue, EBITDA, capex breakout'!$1:$1,0)),"")</f>
        <v>196649.56576009793</v>
      </c>
      <c r="AR63" s="317">
        <f>IFERROR(INDEX('Revenue, EBITDA, capex breakout'!$A:$ABB,MATCH($AA63,'Revenue, EBITDA, capex breakout'!$A:$A,0),MATCH(AR62,'Revenue, EBITDA, capex breakout'!$1:$1,0)),"")</f>
        <v>200442.63899788403</v>
      </c>
      <c r="AS63" s="317">
        <f>IFERROR(INDEX('Revenue, EBITDA, capex breakout'!$A:$ABB,MATCH($AA63,'Revenue, EBITDA, capex breakout'!$A:$A,0),MATCH(AS62,'Revenue, EBITDA, capex breakout'!$1:$1,0)),"")</f>
        <v>195904.96373130448</v>
      </c>
      <c r="AT63" s="317">
        <f>IFERROR(INDEX('Revenue, EBITDA, capex breakout'!$A:$ABB,MATCH($AA63,'Revenue, EBITDA, capex breakout'!$A:$A,0),MATCH(AT62,'Revenue, EBITDA, capex breakout'!$1:$1,0)),"")</f>
        <v>199442</v>
      </c>
      <c r="AU63" s="317">
        <f>IFERROR(INDEX('Revenue, EBITDA, capex breakout'!$A:$ABB,MATCH($AA63,'Revenue, EBITDA, capex breakout'!$A:$A,0),MATCH(AU62,'Revenue, EBITDA, capex breakout'!$1:$1,0)),"")</f>
        <v>220209</v>
      </c>
    </row>
    <row r="64" spans="1:47">
      <c r="A64" s="49"/>
      <c r="B64" s="49"/>
      <c r="C64" s="49"/>
      <c r="D64" s="49"/>
      <c r="E64" s="49"/>
      <c r="F64" s="49"/>
      <c r="G64" s="49"/>
      <c r="H64" s="49"/>
      <c r="I64" s="49"/>
      <c r="J64" s="49"/>
      <c r="K64" s="49"/>
      <c r="L64" s="49"/>
      <c r="M64" s="49"/>
      <c r="N64" s="49"/>
      <c r="O64" s="49"/>
      <c r="P64" s="49"/>
      <c r="Q64" s="49"/>
      <c r="R64" s="49"/>
      <c r="S64" s="49"/>
      <c r="T64" s="49"/>
      <c r="U64" s="49"/>
      <c r="V64" s="49"/>
      <c r="W64" s="49"/>
      <c r="AA64" s="316" t="str">
        <f>'Revenue, EBITDA, capex breakout'!A61</f>
        <v>Consolidated EBITDA growth (YoY)</v>
      </c>
      <c r="AB64" s="318">
        <f>IFERROR(INDEX('Revenue, EBITDA, capex breakout'!$A:$ABB,MATCH($AA64,'Revenue, EBITDA, capex breakout'!$A:$A,0),MATCH(AB62,'Revenue, EBITDA, capex breakout'!$1:$1,0)),"")</f>
        <v>0.48251869626558075</v>
      </c>
      <c r="AC64" s="318">
        <f>IFERROR(INDEX('Revenue, EBITDA, capex breakout'!$A:$ABB,MATCH($AA64,'Revenue, EBITDA, capex breakout'!$A:$A,0),MATCH(AC62,'Revenue, EBITDA, capex breakout'!$1:$1,0)),"")</f>
        <v>0.43412082745651159</v>
      </c>
      <c r="AD64" s="318">
        <f>IFERROR(INDEX('Revenue, EBITDA, capex breakout'!$A:$ABB,MATCH($AA64,'Revenue, EBITDA, capex breakout'!$A:$A,0),MATCH(AD62,'Revenue, EBITDA, capex breakout'!$1:$1,0)),"")</f>
        <v>0.19145562576399433</v>
      </c>
      <c r="AE64" s="318">
        <f>IFERROR(INDEX('Revenue, EBITDA, capex breakout'!$A:$ABB,MATCH($AA64,'Revenue, EBITDA, capex breakout'!$A:$A,0),MATCH(AE62,'Revenue, EBITDA, capex breakout'!$1:$1,0)),"")</f>
        <v>0.25995385860826214</v>
      </c>
      <c r="AF64" s="318">
        <f>IFERROR(INDEX('Revenue, EBITDA, capex breakout'!$A:$ABB,MATCH($AA64,'Revenue, EBITDA, capex breakout'!$A:$A,0),MATCH(AF62,'Revenue, EBITDA, capex breakout'!$1:$1,0)),"")</f>
        <v>0.30241622845573168</v>
      </c>
      <c r="AG64" s="318">
        <f>IFERROR(INDEX('Revenue, EBITDA, capex breakout'!$A:$ABB,MATCH($AA64,'Revenue, EBITDA, capex breakout'!$A:$A,0),MATCH(AG62,'Revenue, EBITDA, capex breakout'!$1:$1,0)),"")</f>
        <v>0.28909355407122073</v>
      </c>
      <c r="AH64" s="318">
        <f>IFERROR(INDEX('Revenue, EBITDA, capex breakout'!$A:$ABB,MATCH($AA64,'Revenue, EBITDA, capex breakout'!$A:$A,0),MATCH(AH62,'Revenue, EBITDA, capex breakout'!$1:$1,0)),"")</f>
        <v>0.30348638069133438</v>
      </c>
      <c r="AI64" s="318">
        <f>IFERROR(INDEX('Revenue, EBITDA, capex breakout'!$A:$ABB,MATCH($AA64,'Revenue, EBITDA, capex breakout'!$A:$A,0),MATCH(AI62,'Revenue, EBITDA, capex breakout'!$1:$1,0)),"")</f>
        <v>0.24498574914496563</v>
      </c>
      <c r="AJ64" s="318">
        <f>IFERROR(INDEX('Revenue, EBITDA, capex breakout'!$A:$ABB,MATCH($AA64,'Revenue, EBITDA, capex breakout'!$A:$A,0),MATCH(AJ62,'Revenue, EBITDA, capex breakout'!$1:$1,0)),"")</f>
        <v>0.22393207413816429</v>
      </c>
      <c r="AK64" s="318">
        <f>IFERROR(INDEX('Revenue, EBITDA, capex breakout'!$A:$ABB,MATCH($AA64,'Revenue, EBITDA, capex breakout'!$A:$A,0),MATCH(AK62,'Revenue, EBITDA, capex breakout'!$1:$1,0)),"")</f>
        <v>0.27141960248269514</v>
      </c>
      <c r="AL64" s="318">
        <f>IFERROR(INDEX('Revenue, EBITDA, capex breakout'!$A:$ABB,MATCH($AA64,'Revenue, EBITDA, capex breakout'!$A:$A,0),MATCH(AL62,'Revenue, EBITDA, capex breakout'!$1:$1,0)),"")</f>
        <v>0.25892049050836952</v>
      </c>
      <c r="AM64" s="318">
        <f>IFERROR(INDEX('Revenue, EBITDA, capex breakout'!$A:$ABB,MATCH($AA64,'Revenue, EBITDA, capex breakout'!$A:$A,0),MATCH(AM62,'Revenue, EBITDA, capex breakout'!$1:$1,0)),"")</f>
        <v>0.26420168786605513</v>
      </c>
      <c r="AN64" s="318">
        <f>IFERROR(INDEX('Revenue, EBITDA, capex breakout'!$A:$ABB,MATCH($AA64,'Revenue, EBITDA, capex breakout'!$A:$A,0),MATCH(AN62,'Revenue, EBITDA, capex breakout'!$1:$1,0)),"")</f>
        <v>0.24797874437902223</v>
      </c>
      <c r="AO64" s="318">
        <f>IFERROR(INDEX('Revenue, EBITDA, capex breakout'!$A:$ABB,MATCH($AA64,'Revenue, EBITDA, capex breakout'!$A:$A,0),MATCH(AO62,'Revenue, EBITDA, capex breakout'!$1:$1,0)),"")</f>
        <v>0.17553630363036299</v>
      </c>
      <c r="AP64" s="318">
        <f>IFERROR(INDEX('Revenue, EBITDA, capex breakout'!$A:$ABB,MATCH($AA64,'Revenue, EBITDA, capex breakout'!$A:$A,0),MATCH(AP62,'Revenue, EBITDA, capex breakout'!$1:$1,0)),"")</f>
        <v>0.18920846057946972</v>
      </c>
      <c r="AQ64" s="318">
        <f>IFERROR(INDEX('Revenue, EBITDA, capex breakout'!$A:$ABB,MATCH($AA64,'Revenue, EBITDA, capex breakout'!$A:$A,0),MATCH(AQ62,'Revenue, EBITDA, capex breakout'!$1:$1,0)),"")</f>
        <v>0.10968538112598436</v>
      </c>
      <c r="AR64" s="318">
        <f>IFERROR(INDEX('Revenue, EBITDA, capex breakout'!$A:$ABB,MATCH($AA64,'Revenue, EBITDA, capex breakout'!$A:$A,0),MATCH(AR62,'Revenue, EBITDA, capex breakout'!$1:$1,0)),"")</f>
        <v>7.7605214963925917E-2</v>
      </c>
      <c r="AS64" s="318">
        <f>IFERROR(INDEX('Revenue, EBITDA, capex breakout'!$A:$ABB,MATCH($AA64,'Revenue, EBITDA, capex breakout'!$A:$A,0),MATCH(AS62,'Revenue, EBITDA, capex breakout'!$1:$1,0)),"")</f>
        <v>4.1676443667971963E-2</v>
      </c>
      <c r="AT64" s="318">
        <f>IFERROR(INDEX('Revenue, EBITDA, capex breakout'!$A:$ABB,MATCH($AA64,'Revenue, EBITDA, capex breakout'!$A:$A,0),MATCH(AT62,'Revenue, EBITDA, capex breakout'!$1:$1,0)),"")</f>
        <v>1.0032360820617647E-2</v>
      </c>
      <c r="AU64" s="318">
        <f>IFERROR(INDEX('Revenue, EBITDA, capex breakout'!$A:$ABB,MATCH($AA64,'Revenue, EBITDA, capex breakout'!$A:$A,0),MATCH(AU62,'Revenue, EBITDA, capex breakout'!$1:$1,0)),"")</f>
        <v>0.11980415084487572</v>
      </c>
    </row>
    <row r="65" spans="1:47">
      <c r="A65" s="49"/>
      <c r="B65" s="49"/>
      <c r="C65" s="49"/>
      <c r="D65" s="49"/>
      <c r="E65" s="49"/>
      <c r="F65" s="49"/>
      <c r="G65" s="49"/>
      <c r="H65" s="49"/>
      <c r="I65" s="49"/>
      <c r="J65" s="49"/>
      <c r="K65" s="49"/>
      <c r="L65" s="49"/>
      <c r="M65" s="49"/>
      <c r="N65" s="49"/>
      <c r="O65" s="49"/>
      <c r="P65" s="49"/>
      <c r="Q65" s="49"/>
      <c r="R65" s="49"/>
      <c r="S65" s="49"/>
      <c r="T65" s="49"/>
      <c r="U65" s="49"/>
      <c r="V65" s="49"/>
      <c r="W65" s="49"/>
    </row>
    <row r="66" spans="1:47">
      <c r="A66" s="49"/>
      <c r="B66" s="49"/>
      <c r="C66" s="49"/>
      <c r="D66" s="49"/>
      <c r="E66" s="49"/>
      <c r="F66" s="49"/>
      <c r="G66" s="49"/>
      <c r="H66" s="49"/>
      <c r="I66" s="49"/>
      <c r="J66" s="49"/>
      <c r="K66" s="49"/>
      <c r="L66" s="49"/>
      <c r="M66" s="49"/>
      <c r="N66" s="49"/>
      <c r="O66" s="49"/>
      <c r="P66" s="49"/>
      <c r="Q66" s="49"/>
      <c r="R66" s="49"/>
      <c r="S66" s="49"/>
      <c r="T66" s="49"/>
      <c r="U66" s="49"/>
      <c r="V66" s="49"/>
      <c r="W66" s="49"/>
    </row>
    <row r="67" spans="1:47">
      <c r="A67" s="49"/>
      <c r="B67" s="49"/>
      <c r="C67" s="49"/>
      <c r="D67" s="49"/>
      <c r="E67" s="49"/>
      <c r="F67" s="49"/>
      <c r="G67" s="49"/>
      <c r="H67" s="49"/>
      <c r="I67" s="49"/>
      <c r="J67" s="49"/>
      <c r="K67" s="49"/>
      <c r="L67" s="49"/>
      <c r="M67" s="49"/>
      <c r="N67" s="49"/>
      <c r="O67" s="49"/>
      <c r="P67" s="49"/>
      <c r="Q67" s="49"/>
      <c r="R67" s="49"/>
      <c r="S67" s="49"/>
      <c r="T67" s="49"/>
      <c r="U67" s="49"/>
      <c r="V67" s="49"/>
      <c r="W67" s="49"/>
      <c r="AB67" s="303">
        <f t="shared" ref="AB67" si="39">AC67-1</f>
        <v>35</v>
      </c>
      <c r="AC67" s="303">
        <f t="shared" ref="AC67" si="40">AD67-1</f>
        <v>36</v>
      </c>
      <c r="AD67" s="303">
        <f t="shared" ref="AD67" si="41">AE67-1</f>
        <v>37</v>
      </c>
      <c r="AE67" s="303">
        <f t="shared" ref="AE67" si="42">AF67-1</f>
        <v>38</v>
      </c>
      <c r="AF67" s="303">
        <f t="shared" ref="AF67" si="43">AG67-1</f>
        <v>39</v>
      </c>
      <c r="AG67" s="303">
        <f t="shared" ref="AG67" si="44">AH67-1</f>
        <v>40</v>
      </c>
      <c r="AH67" s="303">
        <f t="shared" ref="AH67" si="45">AI67-1</f>
        <v>41</v>
      </c>
      <c r="AI67" s="303">
        <f t="shared" ref="AI67" si="46">AJ67-1</f>
        <v>42</v>
      </c>
      <c r="AJ67" s="303">
        <f t="shared" ref="AJ67" si="47">AK67-1</f>
        <v>43</v>
      </c>
      <c r="AK67" s="303">
        <f t="shared" ref="AK67" si="48">AL67-1</f>
        <v>44</v>
      </c>
      <c r="AL67" s="303">
        <f t="shared" ref="AL67" si="49">AM67-1</f>
        <v>45</v>
      </c>
      <c r="AM67" s="303">
        <f t="shared" ref="AM67" si="50">AN67-1</f>
        <v>46</v>
      </c>
      <c r="AN67" s="303">
        <f t="shared" ref="AN67" si="51">AO67-1</f>
        <v>47</v>
      </c>
      <c r="AO67" s="303">
        <f t="shared" ref="AO67" si="52">AP67-1</f>
        <v>48</v>
      </c>
      <c r="AP67" s="303">
        <f t="shared" ref="AP67" si="53">AQ67-1</f>
        <v>49</v>
      </c>
      <c r="AQ67" s="303">
        <f t="shared" ref="AQ67" si="54">AR67-1</f>
        <v>50</v>
      </c>
      <c r="AR67" s="303">
        <f t="shared" ref="AR67" si="55">AS67-1</f>
        <v>51</v>
      </c>
      <c r="AS67" s="303">
        <f t="shared" ref="AS67" si="56">AT67-1</f>
        <v>52</v>
      </c>
      <c r="AT67" s="303">
        <f t="shared" ref="AT67" si="57">AU67-1</f>
        <v>53</v>
      </c>
      <c r="AU67" s="303">
        <f>VLOOKUP(AU68,Dates!$A:$D,2,FALSE)</f>
        <v>54</v>
      </c>
    </row>
    <row r="68" spans="1:47">
      <c r="A68" s="49"/>
      <c r="B68" s="49"/>
      <c r="C68" s="49"/>
      <c r="D68" s="49"/>
      <c r="E68" s="49"/>
      <c r="F68" s="49"/>
      <c r="G68" s="49"/>
      <c r="H68" s="49"/>
      <c r="I68" s="49"/>
      <c r="J68" s="49"/>
      <c r="K68" s="49"/>
      <c r="L68" s="49"/>
      <c r="M68" s="49"/>
      <c r="N68" s="49"/>
      <c r="O68" s="49"/>
      <c r="P68" s="49"/>
      <c r="Q68" s="49"/>
      <c r="R68" s="49"/>
      <c r="S68" s="49"/>
      <c r="T68" s="49"/>
      <c r="U68" s="49"/>
      <c r="V68" s="49"/>
      <c r="W68" s="49"/>
      <c r="AB68" s="303" t="str">
        <f>IFERROR(VLOOKUP(AB67,Dates!$B:$D,3,FALSE),"")</f>
        <v>3Q20</v>
      </c>
      <c r="AC68" s="303" t="str">
        <f>IFERROR(VLOOKUP(AC67,Dates!$B:$D,3,FALSE),"")</f>
        <v>4Q20</v>
      </c>
      <c r="AD68" s="303" t="str">
        <f>IFERROR(VLOOKUP(AD67,Dates!$B:$D,3,FALSE),"")</f>
        <v>1Q21</v>
      </c>
      <c r="AE68" s="303" t="str">
        <f>IFERROR(VLOOKUP(AE67,Dates!$B:$D,3,FALSE),"")</f>
        <v>2Q21</v>
      </c>
      <c r="AF68" s="303" t="str">
        <f>IFERROR(VLOOKUP(AF67,Dates!$B:$D,3,FALSE),"")</f>
        <v>3Q21</v>
      </c>
      <c r="AG68" s="303" t="str">
        <f>IFERROR(VLOOKUP(AG67,Dates!$B:$D,3,FALSE),"")</f>
        <v>4Q21</v>
      </c>
      <c r="AH68" s="303" t="str">
        <f>IFERROR(VLOOKUP(AH67,Dates!$B:$D,3,FALSE),"")</f>
        <v>1Q22</v>
      </c>
      <c r="AI68" s="303" t="str">
        <f>IFERROR(VLOOKUP(AI67,Dates!$B:$D,3,FALSE),"")</f>
        <v>2Q22</v>
      </c>
      <c r="AJ68" s="303" t="str">
        <f>IFERROR(VLOOKUP(AJ67,Dates!$B:$D,3,FALSE),"")</f>
        <v>3Q22</v>
      </c>
      <c r="AK68" s="303" t="str">
        <f>IFERROR(VLOOKUP(AK67,Dates!$B:$D,3,FALSE),"")</f>
        <v>4Q22</v>
      </c>
      <c r="AL68" s="303" t="str">
        <f>IFERROR(VLOOKUP(AL67,Dates!$B:$D,3,FALSE),"")</f>
        <v>1Q23</v>
      </c>
      <c r="AM68" s="303" t="str">
        <f>IFERROR(VLOOKUP(AM67,Dates!$B:$D,3,FALSE),"")</f>
        <v>2Q23</v>
      </c>
      <c r="AN68" s="303" t="str">
        <f>IFERROR(VLOOKUP(AN67,Dates!$B:$D,3,FALSE),"")</f>
        <v>3Q23</v>
      </c>
      <c r="AO68" s="303" t="str">
        <f>IFERROR(VLOOKUP(AO67,Dates!$B:$D,3,FALSE),"")</f>
        <v>4Q23</v>
      </c>
      <c r="AP68" s="303" t="str">
        <f>IFERROR(VLOOKUP(AP67,Dates!$B:$D,3,FALSE),"")</f>
        <v>1Q24</v>
      </c>
      <c r="AQ68" s="303" t="str">
        <f>IFERROR(VLOOKUP(AQ67,Dates!$B:$D,3,FALSE),"")</f>
        <v>2Q24</v>
      </c>
      <c r="AR68" s="303" t="str">
        <f>IFERROR(VLOOKUP(AR67,Dates!$B:$D,3,FALSE),"")</f>
        <v>3Q24</v>
      </c>
      <c r="AS68" s="303" t="str">
        <f>IFERROR(VLOOKUP(AS67,Dates!$B:$D,3,FALSE),"")</f>
        <v>4Q24</v>
      </c>
      <c r="AT68" s="303" t="str">
        <f>IFERROR(VLOOKUP(AT67,Dates!$B:$D,3,FALSE),"")</f>
        <v>1Q25</v>
      </c>
      <c r="AU68" s="315" t="str">
        <f>$G$3</f>
        <v>2Q25</v>
      </c>
    </row>
    <row r="69" spans="1:47">
      <c r="A69" s="49"/>
      <c r="B69" s="49"/>
      <c r="C69" s="49"/>
      <c r="D69" s="49"/>
      <c r="E69" s="49"/>
      <c r="F69" s="49"/>
      <c r="G69" s="49"/>
      <c r="H69" s="49"/>
      <c r="I69" s="49"/>
      <c r="J69" s="49"/>
      <c r="K69" s="49"/>
      <c r="L69" s="49"/>
      <c r="M69" s="49"/>
      <c r="N69" s="49"/>
      <c r="O69" s="49"/>
      <c r="P69" s="49"/>
      <c r="Q69" s="49"/>
      <c r="R69" s="49"/>
      <c r="S69" s="49"/>
      <c r="T69" s="49"/>
      <c r="U69" s="49"/>
      <c r="V69" s="49"/>
      <c r="W69" s="49"/>
      <c r="AA69" s="316" t="str">
        <f>'Revenue, EBITDA, capex breakout'!A56</f>
        <v>Consolidated EBITDA margin</v>
      </c>
      <c r="AB69" s="318">
        <f>IFERROR(INDEX('Revenue, EBITDA, capex breakout'!$A:$ABB,MATCH($AA69,'Revenue, EBITDA, capex breakout'!$A:$A,0),MATCH(AB68,'Revenue, EBITDA, capex breakout'!$1:$1,0)),"")</f>
        <v>0.42602882228072914</v>
      </c>
      <c r="AC69" s="318">
        <f>IFERROR(INDEX('Revenue, EBITDA, capex breakout'!$A:$ABB,MATCH($AA69,'Revenue, EBITDA, capex breakout'!$A:$A,0),MATCH(AC68,'Revenue, EBITDA, capex breakout'!$1:$1,0)),"")</f>
        <v>0.42405522466516354</v>
      </c>
      <c r="AD69" s="318">
        <f>IFERROR(INDEX('Revenue, EBITDA, capex breakout'!$A:$ABB,MATCH($AA69,'Revenue, EBITDA, capex breakout'!$A:$A,0),MATCH(AD68,'Revenue, EBITDA, capex breakout'!$1:$1,0)),"")</f>
        <v>0.43445365870612651</v>
      </c>
      <c r="AE69" s="318">
        <f>IFERROR(INDEX('Revenue, EBITDA, capex breakout'!$A:$ABB,MATCH($AA69,'Revenue, EBITDA, capex breakout'!$A:$A,0),MATCH(AE68,'Revenue, EBITDA, capex breakout'!$1:$1,0)),"")</f>
        <v>0.44928754795138992</v>
      </c>
      <c r="AF69" s="318">
        <f>IFERROR(INDEX('Revenue, EBITDA, capex breakout'!$A:$ABB,MATCH($AA69,'Revenue, EBITDA, capex breakout'!$A:$A,0),MATCH(AF68,'Revenue, EBITDA, capex breakout'!$1:$1,0)),"")</f>
        <v>0.45922807646017733</v>
      </c>
      <c r="AG69" s="318">
        <f>IFERROR(INDEX('Revenue, EBITDA, capex breakout'!$A:$ABB,MATCH($AA69,'Revenue, EBITDA, capex breakout'!$A:$A,0),MATCH(AG68,'Revenue, EBITDA, capex breakout'!$1:$1,0)),"")</f>
        <v>0.48871532160653741</v>
      </c>
      <c r="AH69" s="318">
        <f>IFERROR(INDEX('Revenue, EBITDA, capex breakout'!$A:$ABB,MATCH($AA69,'Revenue, EBITDA, capex breakout'!$A:$A,0),MATCH(AH68,'Revenue, EBITDA, capex breakout'!$1:$1,0)),"")</f>
        <v>0.49115947210057498</v>
      </c>
      <c r="AI69" s="318">
        <f>IFERROR(INDEX('Revenue, EBITDA, capex breakout'!$A:$ABB,MATCH($AA69,'Revenue, EBITDA, capex breakout'!$A:$A,0),MATCH(AI68,'Revenue, EBITDA, capex breakout'!$1:$1,0)),"")</f>
        <v>0.49486344893809309</v>
      </c>
      <c r="AJ69" s="318">
        <f>IFERROR(INDEX('Revenue, EBITDA, capex breakout'!$A:$ABB,MATCH($AA69,'Revenue, EBITDA, capex breakout'!$A:$A,0),MATCH(AJ68,'Revenue, EBITDA, capex breakout'!$1:$1,0)),"")</f>
        <v>0.49904240857680487</v>
      </c>
      <c r="AK69" s="318">
        <f>IFERROR(INDEX('Revenue, EBITDA, capex breakout'!$A:$ABB,MATCH($AA69,'Revenue, EBITDA, capex breakout'!$A:$A,0),MATCH(AK68,'Revenue, EBITDA, capex breakout'!$1:$1,0)),"")</f>
        <v>0.50788087732497789</v>
      </c>
      <c r="AL69" s="318">
        <f>IFERROR(INDEX('Revenue, EBITDA, capex breakout'!$A:$ABB,MATCH($AA69,'Revenue, EBITDA, capex breakout'!$A:$A,0),MATCH(AL68,'Revenue, EBITDA, capex breakout'!$1:$1,0)),"")</f>
        <v>0.50616090174887329</v>
      </c>
      <c r="AM69" s="318">
        <f>IFERROR(INDEX('Revenue, EBITDA, capex breakout'!$A:$ABB,MATCH($AA69,'Revenue, EBITDA, capex breakout'!$A:$A,0),MATCH(AM68,'Revenue, EBITDA, capex breakout'!$1:$1,0)),"")</f>
        <v>0.51325926526640175</v>
      </c>
      <c r="AN69" s="318">
        <f>IFERROR(INDEX('Revenue, EBITDA, capex breakout'!$A:$ABB,MATCH($AA69,'Revenue, EBITDA, capex breakout'!$A:$A,0),MATCH(AN68,'Revenue, EBITDA, capex breakout'!$1:$1,0)),"")</f>
        <v>0.51951013817704006</v>
      </c>
      <c r="AO69" s="318">
        <f>IFERROR(INDEX('Revenue, EBITDA, capex breakout'!$A:$ABB,MATCH($AA69,'Revenue, EBITDA, capex breakout'!$A:$A,0),MATCH(AO68,'Revenue, EBITDA, capex breakout'!$1:$1,0)),"")</f>
        <v>0.52227776389236025</v>
      </c>
      <c r="AP69" s="318">
        <f>IFERROR(INDEX('Revenue, EBITDA, capex breakout'!$A:$ABB,MATCH($AA69,'Revenue, EBITDA, capex breakout'!$A:$A,0),MATCH(AP68,'Revenue, EBITDA, capex breakout'!$1:$1,0)),"")</f>
        <v>0.52740651709401709</v>
      </c>
      <c r="AQ69" s="318">
        <f>IFERROR(INDEX('Revenue, EBITDA, capex breakout'!$A:$ABB,MATCH($AA69,'Revenue, EBITDA, capex breakout'!$A:$A,0),MATCH(AQ68,'Revenue, EBITDA, capex breakout'!$1:$1,0)),"")</f>
        <v>0.5308568930835873</v>
      </c>
      <c r="AR69" s="318">
        <f>IFERROR(INDEX('Revenue, EBITDA, capex breakout'!$A:$ABB,MATCH($AA69,'Revenue, EBITDA, capex breakout'!$A:$A,0),MATCH(AR68,'Revenue, EBITDA, capex breakout'!$1:$1,0)),"")</f>
        <v>0.52887937571177468</v>
      </c>
      <c r="AS69" s="318">
        <f>IFERROR(INDEX('Revenue, EBITDA, capex breakout'!$A:$ABB,MATCH($AA69,'Revenue, EBITDA, capex breakout'!$A:$A,0),MATCH(AS68,'Revenue, EBITDA, capex breakout'!$1:$1,0)),"")</f>
        <v>0.52103631132475103</v>
      </c>
      <c r="AT69" s="318">
        <f>IFERROR(INDEX('Revenue, EBITDA, capex breakout'!$A:$ABB,MATCH($AA69,'Revenue, EBITDA, capex breakout'!$A:$A,0),MATCH(AT68,'Revenue, EBITDA, capex breakout'!$1:$1,0)),"")</f>
        <v>0.51794506887166814</v>
      </c>
      <c r="AU69" s="318">
        <f>IFERROR(INDEX('Revenue, EBITDA, capex breakout'!$A:$ABB,MATCH($AA69,'Revenue, EBITDA, capex breakout'!$A:$A,0),MATCH(AU68,'Revenue, EBITDA, capex breakout'!$1:$1,0)),"")</f>
        <v>0.53096570564676548</v>
      </c>
    </row>
    <row r="70" spans="1:47">
      <c r="A70" s="49"/>
      <c r="B70" s="49"/>
      <c r="C70" s="49"/>
      <c r="D70" s="49"/>
      <c r="E70" s="49"/>
      <c r="F70" s="49"/>
      <c r="G70" s="49"/>
      <c r="H70" s="49"/>
      <c r="I70" s="49"/>
      <c r="J70" s="49"/>
      <c r="K70" s="49"/>
      <c r="L70" s="49"/>
      <c r="M70" s="49"/>
      <c r="N70" s="49"/>
      <c r="O70" s="49"/>
      <c r="P70" s="49"/>
      <c r="Q70" s="49"/>
      <c r="R70" s="49"/>
      <c r="S70" s="49"/>
      <c r="T70" s="49"/>
      <c r="U70" s="49"/>
      <c r="V70" s="49"/>
      <c r="W70" s="49"/>
    </row>
    <row r="71" spans="1:47">
      <c r="A71" s="49"/>
      <c r="B71" s="49"/>
      <c r="C71" s="49"/>
      <c r="D71" s="49"/>
      <c r="E71" s="49"/>
      <c r="F71" s="49"/>
      <c r="G71" s="49"/>
      <c r="H71" s="49"/>
      <c r="I71" s="49"/>
      <c r="J71" s="49"/>
      <c r="K71" s="49"/>
      <c r="L71" s="49"/>
      <c r="M71" s="49"/>
      <c r="N71" s="49"/>
      <c r="O71" s="49"/>
      <c r="P71" s="49"/>
      <c r="Q71" s="49"/>
      <c r="R71" s="49"/>
      <c r="S71" s="49"/>
      <c r="T71" s="49"/>
      <c r="U71" s="49"/>
      <c r="V71" s="49"/>
      <c r="W71" s="49"/>
    </row>
    <row r="72" spans="1:47">
      <c r="A72" s="49"/>
      <c r="B72" s="49"/>
      <c r="C72" s="49"/>
      <c r="D72" s="49"/>
      <c r="E72" s="49"/>
      <c r="F72" s="49"/>
      <c r="G72" s="49"/>
      <c r="H72" s="49"/>
      <c r="I72" s="49"/>
      <c r="J72" s="49"/>
      <c r="K72" s="49"/>
      <c r="L72" s="49"/>
      <c r="M72" s="49"/>
      <c r="N72" s="49"/>
      <c r="O72" s="49"/>
      <c r="P72" s="49"/>
      <c r="Q72" s="49"/>
      <c r="R72" s="49"/>
      <c r="S72" s="49"/>
      <c r="T72" s="49"/>
      <c r="U72" s="49"/>
      <c r="V72" s="49"/>
      <c r="W72" s="49"/>
    </row>
    <row r="73" spans="1:47">
      <c r="A73" s="49"/>
      <c r="B73" s="49"/>
      <c r="C73" s="49"/>
      <c r="D73" s="49"/>
      <c r="E73" s="49"/>
      <c r="F73" s="49"/>
      <c r="G73" s="49"/>
      <c r="H73" s="49"/>
      <c r="I73" s="49"/>
      <c r="J73" s="49"/>
      <c r="K73" s="49"/>
      <c r="L73" s="49"/>
      <c r="M73" s="49"/>
      <c r="N73" s="49"/>
      <c r="O73" s="49"/>
      <c r="P73" s="49"/>
      <c r="Q73" s="49"/>
      <c r="R73" s="49"/>
      <c r="S73" s="49"/>
      <c r="T73" s="49"/>
      <c r="U73" s="49"/>
      <c r="V73" s="49"/>
      <c r="W73" s="49"/>
    </row>
    <row r="74" spans="1:47">
      <c r="A74" s="49"/>
      <c r="B74" s="49"/>
      <c r="C74" s="49"/>
      <c r="D74" s="49"/>
      <c r="E74" s="49"/>
      <c r="F74" s="49"/>
      <c r="G74" s="49"/>
      <c r="H74" s="49"/>
      <c r="I74" s="49"/>
      <c r="J74" s="49"/>
      <c r="K74" s="49"/>
      <c r="L74" s="49"/>
      <c r="M74" s="49"/>
      <c r="N74" s="49"/>
      <c r="O74" s="49"/>
      <c r="P74" s="49"/>
      <c r="Q74" s="49"/>
      <c r="R74" s="49"/>
      <c r="S74" s="49"/>
      <c r="T74" s="49"/>
      <c r="U74" s="49"/>
      <c r="V74" s="49"/>
      <c r="W74" s="49"/>
    </row>
    <row r="75" spans="1:47">
      <c r="A75" s="49"/>
      <c r="B75" s="49"/>
      <c r="C75" s="49"/>
      <c r="D75" s="49"/>
      <c r="E75" s="49"/>
      <c r="F75" s="49"/>
      <c r="G75" s="49"/>
      <c r="H75" s="49"/>
      <c r="I75" s="49"/>
      <c r="J75" s="49"/>
      <c r="K75" s="49"/>
      <c r="L75" s="49"/>
      <c r="M75" s="49"/>
      <c r="N75" s="49"/>
      <c r="O75" s="49"/>
      <c r="P75" s="49"/>
      <c r="Q75" s="49"/>
      <c r="R75" s="49"/>
      <c r="S75" s="49"/>
      <c r="T75" s="49"/>
      <c r="U75" s="49"/>
      <c r="V75" s="49"/>
      <c r="W75" s="49"/>
    </row>
    <row r="76" spans="1:47">
      <c r="A76" s="49"/>
      <c r="B76" s="49"/>
      <c r="C76" s="49"/>
      <c r="D76" s="49"/>
      <c r="E76" s="49"/>
      <c r="F76" s="49"/>
      <c r="G76" s="49"/>
      <c r="H76" s="49"/>
      <c r="I76" s="49"/>
      <c r="J76" s="49"/>
      <c r="K76" s="49"/>
      <c r="L76" s="49" t="s">
        <v>586</v>
      </c>
      <c r="M76" s="49"/>
      <c r="N76" s="49"/>
      <c r="O76" s="49"/>
      <c r="P76" s="49"/>
      <c r="Q76" s="49"/>
      <c r="R76" s="49"/>
      <c r="S76" s="49"/>
      <c r="T76" s="49"/>
      <c r="U76" s="49"/>
      <c r="V76" s="49"/>
      <c r="W76" s="49"/>
    </row>
    <row r="77" spans="1:47">
      <c r="A77" s="49"/>
      <c r="B77" s="49"/>
      <c r="C77" s="49"/>
      <c r="D77" s="49"/>
      <c r="E77" s="49"/>
      <c r="F77" s="49"/>
      <c r="G77" s="49"/>
      <c r="H77" s="49"/>
      <c r="I77" s="49"/>
      <c r="J77" s="49"/>
      <c r="K77" s="49"/>
      <c r="L77" s="49"/>
      <c r="M77" s="49"/>
      <c r="N77" s="49"/>
      <c r="O77" s="49"/>
      <c r="P77" s="49"/>
      <c r="Q77" s="49"/>
      <c r="R77" s="49"/>
      <c r="S77" s="49"/>
      <c r="T77" s="49"/>
      <c r="U77" s="49"/>
      <c r="V77" s="49"/>
      <c r="W77" s="49"/>
    </row>
    <row r="78" spans="1:47">
      <c r="A78" s="1" t="s">
        <v>449</v>
      </c>
      <c r="B78" s="1" t="s">
        <v>521</v>
      </c>
      <c r="C78" s="1"/>
      <c r="D78" s="1"/>
      <c r="E78" s="1"/>
      <c r="F78" s="1"/>
      <c r="G78" s="1"/>
      <c r="H78" s="1"/>
      <c r="I78" s="1"/>
      <c r="J78" s="1"/>
      <c r="K78" s="1" t="s">
        <v>452</v>
      </c>
      <c r="L78" s="1" t="s">
        <v>567</v>
      </c>
      <c r="M78" s="1"/>
      <c r="N78" s="1"/>
      <c r="O78" s="1"/>
      <c r="P78" s="1"/>
      <c r="Q78" s="1"/>
      <c r="R78" s="1"/>
      <c r="S78" s="1"/>
      <c r="T78" s="1"/>
      <c r="U78" s="49"/>
      <c r="V78" s="49"/>
      <c r="W78" s="49"/>
    </row>
    <row r="79" spans="1:47">
      <c r="A79" s="49"/>
      <c r="B79" s="49"/>
      <c r="C79" s="49"/>
      <c r="D79" s="49"/>
      <c r="E79" s="49"/>
      <c r="F79" s="49"/>
      <c r="G79" s="49"/>
      <c r="H79" s="49"/>
      <c r="I79" s="49"/>
      <c r="J79" s="49"/>
      <c r="K79" s="49"/>
      <c r="L79" s="49"/>
      <c r="M79" s="49"/>
      <c r="N79" s="49"/>
      <c r="O79" s="49"/>
      <c r="P79" s="49"/>
      <c r="Q79" s="49"/>
      <c r="R79" s="49"/>
      <c r="S79" s="49"/>
      <c r="T79" s="49"/>
      <c r="U79" s="49"/>
      <c r="V79" s="49"/>
      <c r="W79" s="49"/>
    </row>
    <row r="80" spans="1:47">
      <c r="A80" s="49"/>
      <c r="B80" s="49"/>
      <c r="C80" s="49"/>
      <c r="D80" s="49"/>
      <c r="E80" s="49"/>
      <c r="F80" s="49"/>
      <c r="G80" s="49"/>
      <c r="H80" s="49"/>
      <c r="I80" s="49"/>
      <c r="J80" s="49"/>
      <c r="K80" s="49"/>
      <c r="L80" s="49"/>
      <c r="M80" s="49"/>
      <c r="N80" s="49"/>
      <c r="O80" s="49"/>
      <c r="P80" s="49"/>
      <c r="Q80" s="49"/>
      <c r="R80" s="49"/>
      <c r="S80" s="49"/>
      <c r="T80" s="49"/>
      <c r="U80" s="49"/>
      <c r="V80" s="49"/>
      <c r="W80" s="49"/>
    </row>
    <row r="81" spans="1:47">
      <c r="A81" s="49"/>
      <c r="B81" s="49"/>
      <c r="C81" s="49"/>
      <c r="D81" s="49"/>
      <c r="E81" s="49"/>
      <c r="F81" s="49"/>
      <c r="G81" s="49"/>
      <c r="H81" s="49"/>
      <c r="I81" s="49"/>
      <c r="J81" s="49"/>
      <c r="K81" s="49"/>
      <c r="L81" s="49"/>
      <c r="M81" s="49"/>
      <c r="N81" s="49"/>
      <c r="O81" s="49"/>
      <c r="P81" s="49"/>
      <c r="Q81" s="49"/>
      <c r="R81" s="49"/>
      <c r="S81" s="49"/>
      <c r="T81" s="49"/>
      <c r="U81" s="49"/>
      <c r="V81" s="49"/>
      <c r="W81" s="49"/>
    </row>
    <row r="82" spans="1:47">
      <c r="A82" s="49"/>
      <c r="B82" s="49"/>
      <c r="C82" s="49"/>
      <c r="D82" s="49"/>
      <c r="E82" s="49"/>
      <c r="F82" s="49"/>
      <c r="G82" s="49"/>
      <c r="H82" s="49"/>
      <c r="I82" s="49"/>
      <c r="J82" s="49"/>
      <c r="K82" s="49"/>
      <c r="L82" s="49"/>
      <c r="M82" s="49"/>
      <c r="N82" s="49"/>
      <c r="O82" s="49"/>
      <c r="P82" s="49"/>
      <c r="Q82" s="49"/>
      <c r="R82" s="49"/>
      <c r="S82" s="49"/>
      <c r="T82" s="49"/>
      <c r="U82" s="49"/>
      <c r="V82" s="49"/>
      <c r="W82" s="49"/>
    </row>
    <row r="83" spans="1:47">
      <c r="A83" s="49"/>
      <c r="B83" s="49"/>
      <c r="C83" s="49"/>
      <c r="D83" s="49"/>
      <c r="E83" s="49"/>
      <c r="F83" s="49"/>
      <c r="G83" s="49"/>
      <c r="H83" s="49"/>
      <c r="I83" s="49"/>
      <c r="J83" s="49"/>
      <c r="K83" s="49"/>
      <c r="L83" s="49"/>
      <c r="M83" s="49"/>
      <c r="N83" s="49"/>
      <c r="O83" s="49"/>
      <c r="P83" s="49"/>
      <c r="Q83" s="49"/>
      <c r="R83" s="49"/>
      <c r="S83" s="49"/>
      <c r="T83" s="49"/>
      <c r="U83" s="49"/>
      <c r="V83" s="49"/>
      <c r="W83" s="49"/>
      <c r="AB83" s="303">
        <f t="shared" ref="AB83" si="58">AC83-1</f>
        <v>35</v>
      </c>
      <c r="AC83" s="303">
        <f t="shared" ref="AC83" si="59">AD83-1</f>
        <v>36</v>
      </c>
      <c r="AD83" s="303">
        <f t="shared" ref="AD83" si="60">AE83-1</f>
        <v>37</v>
      </c>
      <c r="AE83" s="303">
        <f t="shared" ref="AE83" si="61">AF83-1</f>
        <v>38</v>
      </c>
      <c r="AF83" s="303">
        <f t="shared" ref="AF83" si="62">AG83-1</f>
        <v>39</v>
      </c>
      <c r="AG83" s="303">
        <f t="shared" ref="AG83" si="63">AH83-1</f>
        <v>40</v>
      </c>
      <c r="AH83" s="303">
        <f t="shared" ref="AH83" si="64">AI83-1</f>
        <v>41</v>
      </c>
      <c r="AI83" s="303">
        <f t="shared" ref="AI83" si="65">AJ83-1</f>
        <v>42</v>
      </c>
      <c r="AJ83" s="303">
        <f t="shared" ref="AJ83" si="66">AK83-1</f>
        <v>43</v>
      </c>
      <c r="AK83" s="303">
        <f t="shared" ref="AK83" si="67">AL83-1</f>
        <v>44</v>
      </c>
      <c r="AL83" s="303">
        <f t="shared" ref="AL83" si="68">AM83-1</f>
        <v>45</v>
      </c>
      <c r="AM83" s="303">
        <f t="shared" ref="AM83" si="69">AN83-1</f>
        <v>46</v>
      </c>
      <c r="AN83" s="303">
        <f t="shared" ref="AN83" si="70">AO83-1</f>
        <v>47</v>
      </c>
      <c r="AO83" s="303">
        <f t="shared" ref="AO83" si="71">AP83-1</f>
        <v>48</v>
      </c>
      <c r="AP83" s="303">
        <f t="shared" ref="AP83" si="72">AQ83-1</f>
        <v>49</v>
      </c>
      <c r="AQ83" s="303">
        <f t="shared" ref="AQ83" si="73">AR83-1</f>
        <v>50</v>
      </c>
      <c r="AR83" s="303">
        <f t="shared" ref="AR83" si="74">AS83-1</f>
        <v>51</v>
      </c>
      <c r="AS83" s="303">
        <f t="shared" ref="AS83" si="75">AT83-1</f>
        <v>52</v>
      </c>
      <c r="AT83" s="303">
        <f t="shared" ref="AT83" si="76">AU83-1</f>
        <v>53</v>
      </c>
      <c r="AU83" s="303">
        <f>VLOOKUP(AU84,Dates!$A:$D,2,FALSE)</f>
        <v>54</v>
      </c>
    </row>
    <row r="84" spans="1:47">
      <c r="A84" s="49"/>
      <c r="B84" s="49"/>
      <c r="C84" s="49"/>
      <c r="D84" s="49"/>
      <c r="E84" s="49"/>
      <c r="F84" s="49"/>
      <c r="G84" s="49"/>
      <c r="H84" s="49"/>
      <c r="I84" s="49"/>
      <c r="J84" s="49"/>
      <c r="K84" s="49"/>
      <c r="L84" s="49"/>
      <c r="M84" s="49"/>
      <c r="N84" s="49"/>
      <c r="O84" s="49"/>
      <c r="P84" s="49"/>
      <c r="Q84" s="49"/>
      <c r="R84" s="49"/>
      <c r="S84" s="49"/>
      <c r="T84" s="49"/>
      <c r="U84" s="49"/>
      <c r="V84" s="49"/>
      <c r="W84" s="49"/>
      <c r="AB84" s="303" t="str">
        <f>IFERROR(VLOOKUP(AB83,Dates!$B:$D,3,FALSE),"")</f>
        <v>3Q20</v>
      </c>
      <c r="AC84" s="303" t="str">
        <f>IFERROR(VLOOKUP(AC83,Dates!$B:$D,3,FALSE),"")</f>
        <v>4Q20</v>
      </c>
      <c r="AD84" s="303" t="str">
        <f>IFERROR(VLOOKUP(AD83,Dates!$B:$D,3,FALSE),"")</f>
        <v>1Q21</v>
      </c>
      <c r="AE84" s="303" t="str">
        <f>IFERROR(VLOOKUP(AE83,Dates!$B:$D,3,FALSE),"")</f>
        <v>2Q21</v>
      </c>
      <c r="AF84" s="303" t="str">
        <f>IFERROR(VLOOKUP(AF83,Dates!$B:$D,3,FALSE),"")</f>
        <v>3Q21</v>
      </c>
      <c r="AG84" s="303" t="str">
        <f>IFERROR(VLOOKUP(AG83,Dates!$B:$D,3,FALSE),"")</f>
        <v>4Q21</v>
      </c>
      <c r="AH84" s="303" t="str">
        <f>IFERROR(VLOOKUP(AH83,Dates!$B:$D,3,FALSE),"")</f>
        <v>1Q22</v>
      </c>
      <c r="AI84" s="303" t="str">
        <f>IFERROR(VLOOKUP(AI83,Dates!$B:$D,3,FALSE),"")</f>
        <v>2Q22</v>
      </c>
      <c r="AJ84" s="303" t="str">
        <f>IFERROR(VLOOKUP(AJ83,Dates!$B:$D,3,FALSE),"")</f>
        <v>3Q22</v>
      </c>
      <c r="AK84" s="303" t="str">
        <f>IFERROR(VLOOKUP(AK83,Dates!$B:$D,3,FALSE),"")</f>
        <v>4Q22</v>
      </c>
      <c r="AL84" s="303" t="str">
        <f>IFERROR(VLOOKUP(AL83,Dates!$B:$D,3,FALSE),"")</f>
        <v>1Q23</v>
      </c>
      <c r="AM84" s="303" t="str">
        <f>IFERROR(VLOOKUP(AM83,Dates!$B:$D,3,FALSE),"")</f>
        <v>2Q23</v>
      </c>
      <c r="AN84" s="303" t="str">
        <f>IFERROR(VLOOKUP(AN83,Dates!$B:$D,3,FALSE),"")</f>
        <v>3Q23</v>
      </c>
      <c r="AO84" s="303" t="str">
        <f>IFERROR(VLOOKUP(AO83,Dates!$B:$D,3,FALSE),"")</f>
        <v>4Q23</v>
      </c>
      <c r="AP84" s="303" t="str">
        <f>IFERROR(VLOOKUP(AP83,Dates!$B:$D,3,FALSE),"")</f>
        <v>1Q24</v>
      </c>
      <c r="AQ84" s="303" t="str">
        <f>IFERROR(VLOOKUP(AQ83,Dates!$B:$D,3,FALSE),"")</f>
        <v>2Q24</v>
      </c>
      <c r="AR84" s="303" t="str">
        <f>IFERROR(VLOOKUP(AR83,Dates!$B:$D,3,FALSE),"")</f>
        <v>3Q24</v>
      </c>
      <c r="AS84" s="303" t="str">
        <f>IFERROR(VLOOKUP(AS83,Dates!$B:$D,3,FALSE),"")</f>
        <v>4Q24</v>
      </c>
      <c r="AT84" s="303" t="str">
        <f>IFERROR(VLOOKUP(AT83,Dates!$B:$D,3,FALSE),"")</f>
        <v>1Q25</v>
      </c>
      <c r="AU84" s="315" t="str">
        <f>$G$3</f>
        <v>2Q25</v>
      </c>
    </row>
    <row r="85" spans="1:47">
      <c r="A85" s="49"/>
      <c r="B85" s="49"/>
      <c r="C85" s="49"/>
      <c r="D85" s="49"/>
      <c r="E85" s="49"/>
      <c r="F85" s="49"/>
      <c r="G85" s="49"/>
      <c r="H85" s="49"/>
      <c r="I85" s="49"/>
      <c r="J85" s="49"/>
      <c r="K85" s="49"/>
      <c r="L85" s="49"/>
      <c r="M85" s="49"/>
      <c r="N85" s="49"/>
      <c r="O85" s="49"/>
      <c r="P85" s="49"/>
      <c r="Q85" s="49"/>
      <c r="R85" s="49"/>
      <c r="S85" s="49"/>
      <c r="T85" s="49"/>
      <c r="U85" s="49"/>
      <c r="V85" s="49"/>
      <c r="W85" s="49"/>
      <c r="AA85" s="316" t="str">
        <f>'Reported Group Profit and Loss'!B25</f>
        <v>Depreciation and amortisation</v>
      </c>
      <c r="AB85" s="317">
        <f>IFERROR(INDEX('Reported Group Profit and Loss'!$A:$ABD,MATCH($AA85,'Reported Group Profit and Loss'!$B:$B,0),MATCH(AB84,'Reported Group Profit and Loss'!$1:$1,0)),"")</f>
        <v>69408</v>
      </c>
      <c r="AC85" s="317">
        <f>IFERROR(INDEX('Reported Group Profit and Loss'!$A:$ABD,MATCH($AA85,'Reported Group Profit and Loss'!$B:$B,0),MATCH(AC84,'Reported Group Profit and Loss'!$1:$1,0)),"")</f>
        <v>68615</v>
      </c>
      <c r="AD85" s="317">
        <f>IFERROR(INDEX('Reported Group Profit and Loss'!$A:$ABD,MATCH($AA85,'Reported Group Profit and Loss'!$B:$B,0),MATCH(AD84,'Reported Group Profit and Loss'!$1:$1,0)),"")</f>
        <v>71131.729533999998</v>
      </c>
      <c r="AE85" s="317">
        <f>IFERROR(INDEX('Reported Group Profit and Loss'!$A:$ABD,MATCH($AA85,'Reported Group Profit and Loss'!$B:$B,0),MATCH(AE84,'Reported Group Profit and Loss'!$1:$1,0)),"")</f>
        <v>72862.270466000002</v>
      </c>
      <c r="AF85" s="317">
        <f>IFERROR(INDEX('Reported Group Profit and Loss'!$A:$ABD,MATCH($AA85,'Reported Group Profit and Loss'!$B:$B,0),MATCH(AF84,'Reported Group Profit and Loss'!$1:$1,0)),"")</f>
        <v>75030.999999999985</v>
      </c>
      <c r="AG85" s="317">
        <f>IFERROR(INDEX('Reported Group Profit and Loss'!$A:$ABD,MATCH($AA85,'Reported Group Profit and Loss'!$B:$B,0),MATCH(AG84,'Reported Group Profit and Loss'!$1:$1,0)),"")</f>
        <v>75019.149871999965</v>
      </c>
      <c r="AH85" s="317">
        <f>IFERROR(INDEX('Reported Group Profit and Loss'!$A:$ABD,MATCH($AA85,'Reported Group Profit and Loss'!$B:$B,0),MATCH(AH84,'Reported Group Profit and Loss'!$1:$1,0)),"")</f>
        <v>77137</v>
      </c>
      <c r="AI85" s="317">
        <f>IFERROR(INDEX('Reported Group Profit and Loss'!$A:$ABD,MATCH($AA85,'Reported Group Profit and Loss'!$B:$B,0),MATCH(AI84,'Reported Group Profit and Loss'!$1:$1,0)),"")</f>
        <v>82472</v>
      </c>
      <c r="AJ85" s="317">
        <f>IFERROR(INDEX('Reported Group Profit and Loss'!$A:$ABD,MATCH($AA85,'Reported Group Profit and Loss'!$B:$B,0),MATCH(AJ84,'Reported Group Profit and Loss'!$1:$1,0)),"")</f>
        <v>85472</v>
      </c>
      <c r="AK85" s="317">
        <f>IFERROR(INDEX('Reported Group Profit and Loss'!$A:$ABD,MATCH($AA85,'Reported Group Profit and Loss'!$B:$B,0),MATCH(AK84,'Reported Group Profit and Loss'!$1:$1,0)),"")</f>
        <v>85826</v>
      </c>
      <c r="AL85" s="317">
        <f>IFERROR(INDEX('Reported Group Profit and Loss'!$A:$ABD,MATCH($AA85,'Reported Group Profit and Loss'!$B:$B,0),MATCH(AL84,'Reported Group Profit and Loss'!$1:$1,0)),"")</f>
        <v>87814</v>
      </c>
      <c r="AM85" s="317">
        <f>IFERROR(INDEX('Reported Group Profit and Loss'!$A:$ABD,MATCH($AA85,'Reported Group Profit and Loss'!$B:$B,0),MATCH(AM84,'Reported Group Profit and Loss'!$1:$1,0)),"")</f>
        <v>89468</v>
      </c>
      <c r="AN85" s="317">
        <f>IFERROR(INDEX('Reported Group Profit and Loss'!$A:$ABD,MATCH($AA85,'Reported Group Profit and Loss'!$B:$B,0),MATCH(AN84,'Reported Group Profit and Loss'!$1:$1,0)),"")</f>
        <v>92977</v>
      </c>
      <c r="AO85" s="317">
        <f>IFERROR(INDEX('Reported Group Profit and Loss'!$A:$ABD,MATCH($AA85,'Reported Group Profit and Loss'!$B:$B,0),MATCH(AO84,'Reported Group Profit and Loss'!$1:$1,0)),"")</f>
        <v>94059</v>
      </c>
      <c r="AP85" s="317">
        <f>IFERROR(INDEX('Reported Group Profit and Loss'!$A:$ABD,MATCH($AA85,'Reported Group Profit and Loss'!$B:$B,0),MATCH(AP84,'Reported Group Profit and Loss'!$1:$1,0)),"")</f>
        <v>96538</v>
      </c>
      <c r="AQ85" s="317">
        <f>IFERROR(INDEX('Reported Group Profit and Loss'!$A:$ABD,MATCH($AA85,'Reported Group Profit and Loss'!$B:$B,0),MATCH(AQ84,'Reported Group Profit and Loss'!$1:$1,0)),"")</f>
        <v>97343</v>
      </c>
      <c r="AR85" s="317">
        <f>IFERROR(INDEX('Reported Group Profit and Loss'!$A:$ABD,MATCH($AA85,'Reported Group Profit and Loss'!$B:$B,0),MATCH(AR84,'Reported Group Profit and Loss'!$1:$1,0)),"")</f>
        <v>100743</v>
      </c>
      <c r="AS85" s="317">
        <f>IFERROR(INDEX('Reported Group Profit and Loss'!$A:$ABD,MATCH($AA85,'Reported Group Profit and Loss'!$B:$B,0),MATCH(AS84,'Reported Group Profit and Loss'!$1:$1,0)),"")</f>
        <v>100752</v>
      </c>
      <c r="AT85" s="317">
        <f>IFERROR(INDEX('Reported Group Profit and Loss'!$A:$ABD,MATCH($AA85,'Reported Group Profit and Loss'!$B:$B,0),MATCH(AT84,'Reported Group Profit and Loss'!$1:$1,0)),"")</f>
        <v>105401</v>
      </c>
      <c r="AU85" s="317">
        <f>IFERROR(INDEX('Reported Group Profit and Loss'!$A:$ABD,MATCH($AA85,'Reported Group Profit and Loss'!$B:$B,0),MATCH(AU84,'Reported Group Profit and Loss'!$1:$1,0)),"")</f>
        <v>110000</v>
      </c>
    </row>
    <row r="86" spans="1:47">
      <c r="A86" s="49"/>
      <c r="B86" s="49"/>
      <c r="C86" s="49"/>
      <c r="D86" s="49"/>
      <c r="E86" s="49"/>
      <c r="F86" s="49"/>
      <c r="G86" s="49"/>
      <c r="H86" s="49"/>
      <c r="I86" s="49"/>
      <c r="J86" s="49"/>
      <c r="K86" s="49"/>
      <c r="L86" s="49"/>
      <c r="M86" s="49"/>
      <c r="N86" s="49"/>
      <c r="O86" s="49"/>
      <c r="P86" s="49"/>
      <c r="Q86" s="49"/>
      <c r="R86" s="49"/>
      <c r="S86" s="49"/>
      <c r="T86" s="49"/>
      <c r="U86" s="49"/>
      <c r="V86" s="49"/>
      <c r="W86" s="49"/>
    </row>
    <row r="87" spans="1:47">
      <c r="A87" s="49"/>
      <c r="B87" s="49"/>
      <c r="C87" s="49"/>
      <c r="D87" s="49"/>
      <c r="E87" s="49"/>
      <c r="F87" s="49"/>
      <c r="G87" s="49"/>
      <c r="H87" s="49"/>
      <c r="I87" s="49"/>
      <c r="J87" s="49"/>
      <c r="K87" s="49"/>
      <c r="L87" s="49"/>
      <c r="M87" s="49"/>
      <c r="N87" s="49"/>
      <c r="O87" s="49"/>
      <c r="P87" s="49"/>
      <c r="Q87" s="49"/>
      <c r="R87" s="49"/>
      <c r="S87" s="49"/>
      <c r="T87" s="49"/>
      <c r="U87" s="49"/>
      <c r="V87" s="49"/>
      <c r="W87" s="49"/>
    </row>
    <row r="88" spans="1:47">
      <c r="A88" s="49"/>
      <c r="B88" s="49"/>
      <c r="C88" s="49"/>
      <c r="D88" s="49"/>
      <c r="E88" s="49"/>
      <c r="F88" s="49"/>
      <c r="G88" s="49"/>
      <c r="H88" s="49"/>
      <c r="I88" s="49"/>
      <c r="J88" s="49"/>
      <c r="K88" s="49"/>
      <c r="L88" s="49"/>
      <c r="M88" s="49"/>
      <c r="N88" s="49"/>
      <c r="O88" s="49"/>
      <c r="P88" s="49"/>
      <c r="Q88" s="49"/>
      <c r="R88" s="49"/>
      <c r="S88" s="49"/>
      <c r="T88" s="49"/>
      <c r="U88" s="49"/>
      <c r="V88" s="49"/>
      <c r="W88" s="49"/>
    </row>
    <row r="89" spans="1:47">
      <c r="A89" s="49"/>
      <c r="B89" s="49"/>
      <c r="C89" s="49"/>
      <c r="D89" s="49"/>
      <c r="E89" s="49"/>
      <c r="F89" s="49"/>
      <c r="G89" s="49"/>
      <c r="H89" s="49"/>
      <c r="I89" s="49"/>
      <c r="J89" s="49"/>
      <c r="K89" s="49"/>
      <c r="L89" s="49"/>
      <c r="M89" s="49"/>
      <c r="N89" s="49"/>
      <c r="O89" s="49"/>
      <c r="P89" s="49"/>
      <c r="Q89" s="49"/>
      <c r="R89" s="49"/>
      <c r="S89" s="49"/>
      <c r="T89" s="49"/>
      <c r="U89" s="49"/>
      <c r="V89" s="49"/>
      <c r="W89" s="49"/>
      <c r="AB89" s="303">
        <f t="shared" ref="AB89" si="77">AC89-1</f>
        <v>35</v>
      </c>
      <c r="AC89" s="303">
        <f t="shared" ref="AC89" si="78">AD89-1</f>
        <v>36</v>
      </c>
      <c r="AD89" s="303">
        <f t="shared" ref="AD89" si="79">AE89-1</f>
        <v>37</v>
      </c>
      <c r="AE89" s="303">
        <f t="shared" ref="AE89" si="80">AF89-1</f>
        <v>38</v>
      </c>
      <c r="AF89" s="303">
        <f t="shared" ref="AF89" si="81">AG89-1</f>
        <v>39</v>
      </c>
      <c r="AG89" s="303">
        <f t="shared" ref="AG89" si="82">AH89-1</f>
        <v>40</v>
      </c>
      <c r="AH89" s="303">
        <f t="shared" ref="AH89" si="83">AI89-1</f>
        <v>41</v>
      </c>
      <c r="AI89" s="303">
        <f t="shared" ref="AI89" si="84">AJ89-1</f>
        <v>42</v>
      </c>
      <c r="AJ89" s="303">
        <f t="shared" ref="AJ89" si="85">AK89-1</f>
        <v>43</v>
      </c>
      <c r="AK89" s="303">
        <f t="shared" ref="AK89" si="86">AL89-1</f>
        <v>44</v>
      </c>
      <c r="AL89" s="303">
        <f t="shared" ref="AL89" si="87">AM89-1</f>
        <v>45</v>
      </c>
      <c r="AM89" s="303">
        <f t="shared" ref="AM89" si="88">AN89-1</f>
        <v>46</v>
      </c>
      <c r="AN89" s="303">
        <f t="shared" ref="AN89" si="89">AO89-1</f>
        <v>47</v>
      </c>
      <c r="AO89" s="303">
        <f t="shared" ref="AO89" si="90">AP89-1</f>
        <v>48</v>
      </c>
      <c r="AP89" s="303">
        <f t="shared" ref="AP89" si="91">AQ89-1</f>
        <v>49</v>
      </c>
      <c r="AQ89" s="303">
        <f t="shared" ref="AQ89" si="92">AR89-1</f>
        <v>50</v>
      </c>
      <c r="AR89" s="303">
        <f t="shared" ref="AR89" si="93">AS89-1</f>
        <v>51</v>
      </c>
      <c r="AS89" s="303">
        <f t="shared" ref="AS89" si="94">AT89-1</f>
        <v>52</v>
      </c>
      <c r="AT89" s="303">
        <f t="shared" ref="AT89" si="95">AU89-1</f>
        <v>53</v>
      </c>
      <c r="AU89" s="303">
        <f>VLOOKUP(AU90,Dates!$A:$D,2,FALSE)</f>
        <v>54</v>
      </c>
    </row>
    <row r="90" spans="1:47">
      <c r="A90" s="49"/>
      <c r="B90" s="49"/>
      <c r="C90" s="49"/>
      <c r="D90" s="49"/>
      <c r="E90" s="49"/>
      <c r="F90" s="49"/>
      <c r="G90" s="49"/>
      <c r="H90" s="49"/>
      <c r="I90" s="49"/>
      <c r="J90" s="49"/>
      <c r="K90" s="49"/>
      <c r="L90" s="49"/>
      <c r="M90" s="49"/>
      <c r="N90" s="49"/>
      <c r="O90" s="49"/>
      <c r="P90" s="49"/>
      <c r="Q90" s="49"/>
      <c r="R90" s="49"/>
      <c r="S90" s="49"/>
      <c r="T90" s="49"/>
      <c r="U90" s="49"/>
      <c r="V90" s="49"/>
      <c r="W90" s="49"/>
      <c r="AB90" s="303" t="str">
        <f>IFERROR(VLOOKUP(AB89,Dates!$B:$D,3,FALSE),"")</f>
        <v>3Q20</v>
      </c>
      <c r="AC90" s="303" t="str">
        <f>IFERROR(VLOOKUP(AC89,Dates!$B:$D,3,FALSE),"")</f>
        <v>4Q20</v>
      </c>
      <c r="AD90" s="303" t="str">
        <f>IFERROR(VLOOKUP(AD89,Dates!$B:$D,3,FALSE),"")</f>
        <v>1Q21</v>
      </c>
      <c r="AE90" s="303" t="str">
        <f>IFERROR(VLOOKUP(AE89,Dates!$B:$D,3,FALSE),"")</f>
        <v>2Q21</v>
      </c>
      <c r="AF90" s="303" t="str">
        <f>IFERROR(VLOOKUP(AF89,Dates!$B:$D,3,FALSE),"")</f>
        <v>3Q21</v>
      </c>
      <c r="AG90" s="303" t="str">
        <f>IFERROR(VLOOKUP(AG89,Dates!$B:$D,3,FALSE),"")</f>
        <v>4Q21</v>
      </c>
      <c r="AH90" s="303" t="str">
        <f>IFERROR(VLOOKUP(AH89,Dates!$B:$D,3,FALSE),"")</f>
        <v>1Q22</v>
      </c>
      <c r="AI90" s="303" t="str">
        <f>IFERROR(VLOOKUP(AI89,Dates!$B:$D,3,FALSE),"")</f>
        <v>2Q22</v>
      </c>
      <c r="AJ90" s="303" t="str">
        <f>IFERROR(VLOOKUP(AJ89,Dates!$B:$D,3,FALSE),"")</f>
        <v>3Q22</v>
      </c>
      <c r="AK90" s="303" t="str">
        <f>IFERROR(VLOOKUP(AK89,Dates!$B:$D,3,FALSE),"")</f>
        <v>4Q22</v>
      </c>
      <c r="AL90" s="303" t="str">
        <f>IFERROR(VLOOKUP(AL89,Dates!$B:$D,3,FALSE),"")</f>
        <v>1Q23</v>
      </c>
      <c r="AM90" s="303" t="str">
        <f>IFERROR(VLOOKUP(AM89,Dates!$B:$D,3,FALSE),"")</f>
        <v>2Q23</v>
      </c>
      <c r="AN90" s="303" t="str">
        <f>IFERROR(VLOOKUP(AN89,Dates!$B:$D,3,FALSE),"")</f>
        <v>3Q23</v>
      </c>
      <c r="AO90" s="303" t="str">
        <f>IFERROR(VLOOKUP(AO89,Dates!$B:$D,3,FALSE),"")</f>
        <v>4Q23</v>
      </c>
      <c r="AP90" s="303" t="str">
        <f>IFERROR(VLOOKUP(AP89,Dates!$B:$D,3,FALSE),"")</f>
        <v>1Q24</v>
      </c>
      <c r="AQ90" s="303" t="str">
        <f>IFERROR(VLOOKUP(AQ89,Dates!$B:$D,3,FALSE),"")</f>
        <v>2Q24</v>
      </c>
      <c r="AR90" s="303" t="str">
        <f>IFERROR(VLOOKUP(AR89,Dates!$B:$D,3,FALSE),"")</f>
        <v>3Q24</v>
      </c>
      <c r="AS90" s="303" t="str">
        <f>IFERROR(VLOOKUP(AS89,Dates!$B:$D,3,FALSE),"")</f>
        <v>4Q24</v>
      </c>
      <c r="AT90" s="303" t="str">
        <f>IFERROR(VLOOKUP(AT89,Dates!$B:$D,3,FALSE),"")</f>
        <v>1Q25</v>
      </c>
      <c r="AU90" s="315" t="str">
        <f>$G$3</f>
        <v>2Q25</v>
      </c>
    </row>
    <row r="91" spans="1:47">
      <c r="A91" s="49"/>
      <c r="B91" s="49"/>
      <c r="C91" s="49"/>
      <c r="D91" s="49"/>
      <c r="E91" s="49"/>
      <c r="F91" s="49"/>
      <c r="G91" s="49"/>
      <c r="H91" s="49"/>
      <c r="I91" s="49"/>
      <c r="J91" s="49"/>
      <c r="K91" s="49"/>
      <c r="L91" s="49"/>
      <c r="M91" s="49"/>
      <c r="N91" s="49"/>
      <c r="O91" s="49"/>
      <c r="P91" s="49"/>
      <c r="Q91" s="49"/>
      <c r="R91" s="49"/>
      <c r="S91" s="49"/>
      <c r="T91" s="49"/>
      <c r="U91" s="49"/>
      <c r="V91" s="49"/>
      <c r="W91" s="49"/>
      <c r="AA91" s="316" t="str">
        <f>'Reported Group Profit and Loss'!B49</f>
        <v>Equity holders of the parent</v>
      </c>
      <c r="AB91" s="317">
        <f>IFERROR(INDEX('Reported Group Profit and Loss'!$A:$ABD,MATCH($AA91,'Reported Group Profit and Loss'!$B:$B,0),MATCH(AB90,'Reported Group Profit and Loss'!$1:$1,0)),"")</f>
        <v>-11422.5</v>
      </c>
      <c r="AC91" s="317">
        <f>IFERROR(INDEX('Reported Group Profit and Loss'!$A:$ABD,MATCH($AA91,'Reported Group Profit and Loss'!$B:$B,0),MATCH(AC90,'Reported Group Profit and Loss'!$1:$1,0)),"")</f>
        <v>-52370</v>
      </c>
      <c r="AD91" s="317">
        <f>IFERROR(INDEX('Reported Group Profit and Loss'!$A:$ABD,MATCH($AA91,'Reported Group Profit and Loss'!$B:$B,0),MATCH(AD90,'Reported Group Profit and Loss'!$1:$1,0)),"")</f>
        <v>-159330.89035286458</v>
      </c>
      <c r="AE91" s="317">
        <f>IFERROR(INDEX('Reported Group Profit and Loss'!$A:$ABD,MATCH($AA91,'Reported Group Profit and Loss'!$B:$B,0),MATCH(AE90,'Reported Group Profit and Loss'!$1:$1,0)),"")</f>
        <v>-7632.1096471354249</v>
      </c>
      <c r="AF91" s="317">
        <f>IFERROR(INDEX('Reported Group Profit and Loss'!$A:$ABD,MATCH($AA91,'Reported Group Profit and Loss'!$B:$B,0),MATCH(AF90,'Reported Group Profit and Loss'!$1:$1,0)),"")</f>
        <v>8536</v>
      </c>
      <c r="AG91" s="317">
        <f>IFERROR(INDEX('Reported Group Profit and Loss'!$A:$ABD,MATCH($AA91,'Reported Group Profit and Loss'!$B:$B,0),MATCH(AG90,'Reported Group Profit and Loss'!$1:$1,0)),"")</f>
        <v>7591.85012800002</v>
      </c>
      <c r="AH91" s="317">
        <f>IFERROR(INDEX('Reported Group Profit and Loss'!$A:$ABD,MATCH($AA91,'Reported Group Profit and Loss'!$B:$B,0),MATCH(AH90,'Reported Group Profit and Loss'!$1:$1,0)),"")</f>
        <v>2835</v>
      </c>
      <c r="AI91" s="317">
        <f>IFERROR(INDEX('Reported Group Profit and Loss'!$A:$ABD,MATCH($AA91,'Reported Group Profit and Loss'!$B:$B,0),MATCH(AI90,'Reported Group Profit and Loss'!$1:$1,0)),"")</f>
        <v>11340</v>
      </c>
      <c r="AJ91" s="317">
        <f>IFERROR(INDEX('Reported Group Profit and Loss'!$A:$ABD,MATCH($AA91,'Reported Group Profit and Loss'!$B:$B,0),MATCH(AJ90,'Reported Group Profit and Loss'!$1:$1,0)),"")</f>
        <v>8296</v>
      </c>
      <c r="AK91" s="317">
        <f>IFERROR(INDEX('Reported Group Profit and Loss'!$A:$ABD,MATCH($AA91,'Reported Group Profit and Loss'!$B:$B,0),MATCH(AK90,'Reported Group Profit and Loss'!$1:$1,0)),"")</f>
        <v>20078</v>
      </c>
      <c r="AL91" s="317">
        <f>IFERROR(INDEX('Reported Group Profit and Loss'!$A:$ABD,MATCH($AA91,'Reported Group Profit and Loss'!$B:$B,0),MATCH(AL90,'Reported Group Profit and Loss'!$1:$1,0)),"")</f>
        <v>16069</v>
      </c>
      <c r="AM91" s="317">
        <f>IFERROR(INDEX('Reported Group Profit and Loss'!$A:$ABD,MATCH($AA91,'Reported Group Profit and Loss'!$B:$B,0),MATCH(AM90,'Reported Group Profit and Loss'!$1:$1,0)),"")</f>
        <v>21452</v>
      </c>
      <c r="AN91" s="317">
        <f>IFERROR(INDEX('Reported Group Profit and Loss'!$A:$ABD,MATCH($AA91,'Reported Group Profit and Loss'!$B:$B,0),MATCH(AN90,'Reported Group Profit and Loss'!$1:$1,0)),"")</f>
        <v>15882</v>
      </c>
      <c r="AO91" s="317">
        <f>IFERROR(INDEX('Reported Group Profit and Loss'!$A:$ABD,MATCH($AA91,'Reported Group Profit and Loss'!$B:$B,0),MATCH(AO90,'Reported Group Profit and Loss'!$1:$1,0)),"")</f>
        <v>30056</v>
      </c>
      <c r="AP91" s="317">
        <f>IFERROR(INDEX('Reported Group Profit and Loss'!$A:$ABD,MATCH($AA91,'Reported Group Profit and Loss'!$B:$B,0),MATCH(AP90,'Reported Group Profit and Loss'!$1:$1,0)),"")</f>
        <v>16125</v>
      </c>
      <c r="AQ91" s="317">
        <f>IFERROR(INDEX('Reported Group Profit and Loss'!$A:$ABD,MATCH($AA91,'Reported Group Profit and Loss'!$B:$B,0),MATCH(AQ90,'Reported Group Profit and Loss'!$1:$1,0)),"")</f>
        <v>13407</v>
      </c>
      <c r="AR91" s="317">
        <f>IFERROR(INDEX('Reported Group Profit and Loss'!$A:$ABD,MATCH($AA91,'Reported Group Profit and Loss'!$B:$B,0),MATCH(AR90,'Reported Group Profit and Loss'!$1:$1,0)),"")</f>
        <v>24422</v>
      </c>
      <c r="AS91" s="317">
        <f>IFERROR(INDEX('Reported Group Profit and Loss'!$A:$ABD,MATCH($AA91,'Reported Group Profit and Loss'!$B:$B,0),MATCH(AS90,'Reported Group Profit and Loss'!$1:$1,0)),"")</f>
        <v>20716</v>
      </c>
      <c r="AT91" s="317">
        <f>IFERROR(INDEX('Reported Group Profit and Loss'!$A:$ABD,MATCH($AA91,'Reported Group Profit and Loss'!$B:$B,0),MATCH(AT90,'Reported Group Profit and Loss'!$1:$1,0)),"")</f>
        <v>41599</v>
      </c>
      <c r="AU91" s="317">
        <f>IFERROR(INDEX('Reported Group Profit and Loss'!$A:$ABD,MATCH($AA91,'Reported Group Profit and Loss'!$B:$B,0),MATCH(AU90,'Reported Group Profit and Loss'!$1:$1,0)),"")</f>
        <v>35932</v>
      </c>
    </row>
    <row r="92" spans="1:47">
      <c r="A92" s="49"/>
      <c r="B92" s="49"/>
      <c r="C92" s="49"/>
      <c r="D92" s="49"/>
      <c r="E92" s="49"/>
      <c r="F92" s="49"/>
      <c r="G92" s="49"/>
      <c r="H92" s="49"/>
      <c r="I92" s="49"/>
      <c r="J92" s="49"/>
      <c r="K92" s="49"/>
      <c r="L92" s="49"/>
      <c r="M92" s="49"/>
      <c r="N92" s="49"/>
      <c r="O92" s="49"/>
      <c r="P92" s="49"/>
      <c r="Q92" s="49"/>
      <c r="R92" s="49"/>
      <c r="S92" s="49"/>
      <c r="T92" s="49"/>
      <c r="U92" s="49"/>
      <c r="V92" s="49"/>
      <c r="W92" s="49"/>
      <c r="AA92" s="316" t="str">
        <f>'Reported Group Profit and Loss'!B86</f>
        <v>Net income growth (% YoY)</v>
      </c>
      <c r="AB92" s="318">
        <f>IFERROR(INDEX('Reported Group Profit and Loss'!$A:$ABD,MATCH($AA92,'Reported Group Profit and Loss'!$B:$B,0),MATCH(AB90,'Reported Group Profit and Loss'!$1:$1,0)),"")</f>
        <v>-14.251160092807424</v>
      </c>
      <c r="AC92" s="318">
        <f>IFERROR(INDEX('Reported Group Profit and Loss'!$A:$ABD,MATCH($AA92,'Reported Group Profit and Loss'!$B:$B,0),MATCH(AC90,'Reported Group Profit and Loss'!$1:$1,0)),"")</f>
        <v>-49.852611940298509</v>
      </c>
      <c r="AD92" s="318">
        <f>IFERROR(INDEX('Reported Group Profit and Loss'!$A:$ABD,MATCH($AA92,'Reported Group Profit and Loss'!$B:$B,0),MATCH(AD90,'Reported Group Profit and Loss'!$1:$1,0)),"")</f>
        <v>4.2051907988521586</v>
      </c>
      <c r="AE92" s="318">
        <f>IFERROR(INDEX('Reported Group Profit and Loss'!$A:$ABD,MATCH($AA92,'Reported Group Profit and Loss'!$B:$B,0),MATCH(AE90,'Reported Group Profit and Loss'!$1:$1,0)),"")</f>
        <v>-0.96671996839865948</v>
      </c>
      <c r="AF92" s="318">
        <f>IFERROR(INDEX('Reported Group Profit and Loss'!$A:$ABD,MATCH($AA92,'Reported Group Profit and Loss'!$B:$B,0),MATCH(AF90,'Reported Group Profit and Loss'!$1:$1,0)),"")</f>
        <v>-1.7472970015320639</v>
      </c>
      <c r="AG92" s="318">
        <f>IFERROR(INDEX('Reported Group Profit and Loss'!$A:$ABD,MATCH($AA92,'Reported Group Profit and Loss'!$B:$B,0),MATCH(AG90,'Reported Group Profit and Loss'!$1:$1,0)),"")</f>
        <v>-1.1449656316211576</v>
      </c>
      <c r="AH92" s="318">
        <f>IFERROR(INDEX('Reported Group Profit and Loss'!$A:$ABD,MATCH($AA92,'Reported Group Profit and Loss'!$B:$B,0),MATCH(AH90,'Reported Group Profit and Loss'!$1:$1,0)),"")</f>
        <v>-1.0177931598431504</v>
      </c>
      <c r="AI92" s="318">
        <f>IFERROR(INDEX('Reported Group Profit and Loss'!$A:$ABD,MATCH($AA92,'Reported Group Profit and Loss'!$B:$B,0),MATCH(AI90,'Reported Group Profit and Loss'!$1:$1,0)),"")</f>
        <v>-2.4858277100691635</v>
      </c>
      <c r="AJ92" s="318">
        <f>IFERROR(INDEX('Reported Group Profit and Loss'!$A:$ABD,MATCH($AA92,'Reported Group Profit and Loss'!$B:$B,0),MATCH(AJ90,'Reported Group Profit and Loss'!$1:$1,0)),"")</f>
        <v>-2.8116213683224034E-2</v>
      </c>
      <c r="AK92" s="318">
        <f>IFERROR(INDEX('Reported Group Profit and Loss'!$A:$ABD,MATCH($AA92,'Reported Group Profit and Loss'!$B:$B,0),MATCH(AK90,'Reported Group Profit and Loss'!$1:$1,0)),"")</f>
        <v>1.6446781300316982</v>
      </c>
      <c r="AL92" s="318">
        <f>IFERROR(INDEX('Reported Group Profit and Loss'!$A:$ABD,MATCH($AA92,'Reported Group Profit and Loss'!$B:$B,0),MATCH(AL90,'Reported Group Profit and Loss'!$1:$1,0)),"")</f>
        <v>4.6680776014109346</v>
      </c>
      <c r="AM92" s="318">
        <f>IFERROR(INDEX('Reported Group Profit and Loss'!$A:$ABD,MATCH($AA92,'Reported Group Profit and Loss'!$B:$B,0),MATCH(AM90,'Reported Group Profit and Loss'!$1:$1,0)),"")</f>
        <v>0.89171075837742508</v>
      </c>
      <c r="AN92" s="318">
        <f>IFERROR(INDEX('Reported Group Profit and Loss'!$A:$ABD,MATCH($AA92,'Reported Group Profit and Loss'!$B:$B,0),MATCH(AN90,'Reported Group Profit and Loss'!$1:$1,0)),"")</f>
        <v>0.91441658630665379</v>
      </c>
      <c r="AO92" s="318">
        <f>IFERROR(INDEX('Reported Group Profit and Loss'!$A:$ABD,MATCH($AA92,'Reported Group Profit and Loss'!$B:$B,0),MATCH(AO90,'Reported Group Profit and Loss'!$1:$1,0)),"")</f>
        <v>0.49696184878972005</v>
      </c>
      <c r="AP92" s="318">
        <f>IFERROR(INDEX('Reported Group Profit and Loss'!$A:$ABD,MATCH($AA92,'Reported Group Profit and Loss'!$B:$B,0),MATCH(AP90,'Reported Group Profit and Loss'!$1:$1,0)),"")</f>
        <v>3.4849710622939511E-3</v>
      </c>
      <c r="AQ92" s="318">
        <f>IFERROR(INDEX('Reported Group Profit and Loss'!$A:$ABD,MATCH($AA92,'Reported Group Profit and Loss'!$B:$B,0),MATCH(AQ90,'Reported Group Profit and Loss'!$1:$1,0)),"")</f>
        <v>-0.37502330785008386</v>
      </c>
      <c r="AR92" s="318">
        <f>IFERROR(INDEX('Reported Group Profit and Loss'!$A:$ABD,MATCH($AA92,'Reported Group Profit and Loss'!$B:$B,0),MATCH(AR90,'Reported Group Profit and Loss'!$1:$1,0)),"")</f>
        <v>0.53771565294043566</v>
      </c>
      <c r="AS92" s="318">
        <f>IFERROR(INDEX('Reported Group Profit and Loss'!$A:$ABD,MATCH($AA92,'Reported Group Profit and Loss'!$B:$B,0),MATCH(AS90,'Reported Group Profit and Loss'!$1:$1,0)),"")</f>
        <v>-0.31075326058025021</v>
      </c>
      <c r="AT92" s="318">
        <f>IFERROR(INDEX('Reported Group Profit and Loss'!$A:$ABD,MATCH($AA92,'Reported Group Profit and Loss'!$B:$B,0),MATCH(AT90,'Reported Group Profit and Loss'!$1:$1,0)),"")</f>
        <v>1.5797829457364343</v>
      </c>
      <c r="AU92" s="318">
        <f>IFERROR(INDEX('Reported Group Profit and Loss'!$A:$ABD,MATCH($AA92,'Reported Group Profit and Loss'!$B:$B,0),MATCH(AU90,'Reported Group Profit and Loss'!$1:$1,0)),"")</f>
        <v>1.6800924889982847</v>
      </c>
    </row>
    <row r="93" spans="1:47">
      <c r="A93" s="49"/>
      <c r="B93" s="49"/>
      <c r="C93" s="49"/>
      <c r="D93" s="49"/>
      <c r="E93" s="49"/>
      <c r="F93" s="49"/>
      <c r="G93" s="49"/>
      <c r="H93" s="49"/>
      <c r="I93" s="49"/>
      <c r="J93" s="49"/>
      <c r="K93" s="49"/>
      <c r="L93" s="49"/>
      <c r="M93" s="49"/>
      <c r="N93" s="49"/>
      <c r="O93" s="49"/>
      <c r="P93" s="49"/>
      <c r="Q93" s="49"/>
      <c r="R93" s="49"/>
      <c r="S93" s="49"/>
      <c r="T93" s="49"/>
      <c r="U93" s="49"/>
      <c r="V93" s="49"/>
      <c r="W93" s="49"/>
    </row>
    <row r="94" spans="1:47">
      <c r="A94" s="49"/>
      <c r="B94" s="49"/>
      <c r="C94" s="49"/>
      <c r="D94" s="49"/>
      <c r="E94" s="49"/>
      <c r="F94" s="49"/>
      <c r="G94" s="49"/>
      <c r="H94" s="49"/>
      <c r="I94" s="49"/>
      <c r="J94" s="49"/>
      <c r="K94" s="49"/>
      <c r="L94" s="49"/>
      <c r="M94" s="49"/>
      <c r="N94" s="49"/>
      <c r="O94" s="49"/>
      <c r="P94" s="49"/>
      <c r="Q94" s="49"/>
      <c r="R94" s="49"/>
      <c r="S94" s="49"/>
      <c r="T94" s="49"/>
      <c r="U94" s="49"/>
      <c r="V94" s="49"/>
      <c r="W94" s="49"/>
    </row>
    <row r="95" spans="1:47">
      <c r="A95" s="49"/>
      <c r="B95" s="49"/>
      <c r="C95" s="49"/>
      <c r="D95" s="49"/>
      <c r="E95" s="49"/>
      <c r="F95" s="49"/>
      <c r="G95" s="49"/>
      <c r="H95" s="49"/>
      <c r="I95" s="49"/>
      <c r="J95" s="49"/>
      <c r="K95" s="49"/>
      <c r="L95" s="49"/>
      <c r="M95" s="49"/>
      <c r="N95" s="49"/>
      <c r="O95" s="49"/>
      <c r="P95" s="49"/>
      <c r="Q95" s="49"/>
      <c r="R95" s="49"/>
      <c r="S95" s="49"/>
      <c r="T95" s="49"/>
      <c r="U95" s="49"/>
      <c r="V95" s="49"/>
      <c r="W95" s="49"/>
    </row>
    <row r="96" spans="1:47">
      <c r="A96" s="49"/>
      <c r="B96" s="49"/>
      <c r="C96" s="49"/>
      <c r="D96" s="49"/>
      <c r="E96" s="49"/>
      <c r="F96" s="49"/>
      <c r="G96" s="49"/>
      <c r="H96" s="49"/>
      <c r="I96" s="49"/>
      <c r="J96" s="49"/>
      <c r="K96" s="49"/>
      <c r="L96" s="49"/>
      <c r="M96" s="49"/>
      <c r="N96" s="49"/>
      <c r="O96" s="49"/>
      <c r="P96" s="49"/>
      <c r="Q96" s="49"/>
      <c r="R96" s="49"/>
      <c r="S96" s="49"/>
      <c r="T96" s="49"/>
      <c r="U96" s="49"/>
      <c r="V96" s="49"/>
      <c r="W96" s="49"/>
    </row>
    <row r="97" spans="1:47">
      <c r="A97" s="49"/>
      <c r="B97" s="49"/>
      <c r="C97" s="49"/>
      <c r="D97" s="49"/>
      <c r="E97" s="49"/>
      <c r="F97" s="49"/>
      <c r="G97" s="49"/>
      <c r="H97" s="49"/>
      <c r="I97" s="49"/>
      <c r="J97" s="49"/>
      <c r="K97" s="49"/>
      <c r="L97" s="49"/>
      <c r="M97" s="49"/>
      <c r="N97" s="49"/>
      <c r="O97" s="49"/>
      <c r="P97" s="49"/>
      <c r="Q97" s="49"/>
      <c r="R97" s="49"/>
      <c r="S97" s="49"/>
      <c r="T97" s="49"/>
      <c r="U97" s="49"/>
      <c r="V97" s="49"/>
      <c r="W97" s="49"/>
    </row>
    <row r="98" spans="1:47">
      <c r="A98" s="49"/>
      <c r="B98" s="49"/>
      <c r="C98" s="49"/>
      <c r="D98" s="49"/>
      <c r="E98" s="49"/>
      <c r="F98" s="49"/>
      <c r="G98" s="49"/>
      <c r="H98" s="49"/>
      <c r="I98" s="49"/>
      <c r="J98" s="49"/>
      <c r="K98" s="49"/>
      <c r="M98" s="49"/>
      <c r="N98" s="49"/>
      <c r="O98" s="49"/>
      <c r="P98" s="49"/>
      <c r="Q98" s="49"/>
      <c r="R98" s="49"/>
      <c r="S98" s="49"/>
      <c r="T98" s="49"/>
      <c r="U98" s="49"/>
      <c r="V98" s="49"/>
      <c r="W98" s="49"/>
    </row>
    <row r="99" spans="1:47">
      <c r="A99" s="49"/>
      <c r="B99" s="49"/>
      <c r="C99" s="49"/>
      <c r="D99" s="49"/>
      <c r="E99" s="49"/>
      <c r="F99" s="49"/>
      <c r="G99" s="49"/>
      <c r="H99" s="49"/>
      <c r="I99" s="49"/>
      <c r="J99" s="49"/>
      <c r="K99" s="49"/>
      <c r="M99" s="49"/>
      <c r="N99" s="49"/>
      <c r="O99" s="49"/>
      <c r="P99" s="49"/>
      <c r="Q99" s="49"/>
      <c r="R99" s="49"/>
      <c r="S99" s="49"/>
      <c r="T99" s="49"/>
      <c r="U99" s="49"/>
      <c r="V99" s="49"/>
      <c r="W99" s="49"/>
    </row>
    <row r="100" spans="1:47">
      <c r="A100" s="1" t="s">
        <v>470</v>
      </c>
      <c r="B100" s="1"/>
      <c r="C100" s="1"/>
      <c r="D100" s="1"/>
      <c r="E100" s="1"/>
      <c r="F100" s="1"/>
      <c r="G100" s="1"/>
      <c r="H100" s="1"/>
      <c r="I100" s="1"/>
      <c r="J100" s="1"/>
      <c r="K100" s="1"/>
      <c r="L100" s="1"/>
      <c r="M100" s="1"/>
      <c r="N100" s="1"/>
      <c r="O100" s="1"/>
      <c r="P100" s="1"/>
      <c r="Q100" s="1"/>
      <c r="R100" s="1"/>
      <c r="S100" s="1"/>
      <c r="T100" s="1"/>
      <c r="U100" s="49"/>
      <c r="V100" s="49"/>
      <c r="W100" s="49"/>
    </row>
    <row r="101" spans="1:47">
      <c r="A101" s="1" t="s">
        <v>443</v>
      </c>
      <c r="B101" s="1" t="s">
        <v>471</v>
      </c>
      <c r="C101" s="1"/>
      <c r="D101" s="1"/>
      <c r="E101" s="1"/>
      <c r="F101" s="1"/>
      <c r="G101" s="1"/>
      <c r="H101" s="1"/>
      <c r="I101" s="1"/>
      <c r="J101" s="1"/>
      <c r="K101" s="1" t="s">
        <v>444</v>
      </c>
      <c r="L101" s="1" t="s">
        <v>576</v>
      </c>
      <c r="M101" s="1"/>
      <c r="N101" s="1"/>
      <c r="O101" s="1"/>
      <c r="P101" s="1"/>
      <c r="Q101" s="1"/>
      <c r="R101" s="1"/>
      <c r="S101" s="1"/>
      <c r="T101" s="1"/>
      <c r="U101" s="49"/>
      <c r="V101" s="49"/>
      <c r="W101" s="49"/>
    </row>
    <row r="102" spans="1:47">
      <c r="A102" s="49"/>
      <c r="B102" s="49"/>
      <c r="C102" s="49"/>
      <c r="D102" s="49"/>
      <c r="E102" s="49"/>
      <c r="F102" s="49"/>
      <c r="G102" s="49"/>
      <c r="H102" s="49"/>
      <c r="I102" s="49"/>
      <c r="J102" s="49"/>
      <c r="K102" s="49"/>
      <c r="L102" s="49"/>
      <c r="M102" s="49"/>
      <c r="N102" s="49"/>
      <c r="O102" s="49"/>
      <c r="P102" s="49"/>
      <c r="Q102" s="49"/>
      <c r="R102" s="49"/>
      <c r="S102" s="49"/>
      <c r="T102" s="49"/>
      <c r="U102" s="49"/>
      <c r="V102" s="49"/>
      <c r="W102" s="49"/>
    </row>
    <row r="103" spans="1:47">
      <c r="A103" s="49"/>
      <c r="B103" s="49"/>
      <c r="C103" s="49"/>
      <c r="D103" s="49"/>
      <c r="E103" s="49"/>
      <c r="F103" s="49"/>
      <c r="G103" s="49"/>
      <c r="H103" s="49"/>
      <c r="I103" s="49"/>
      <c r="J103" s="49"/>
      <c r="K103" s="49"/>
      <c r="L103" s="49"/>
      <c r="M103" s="49"/>
      <c r="N103" s="49"/>
      <c r="O103" s="49"/>
      <c r="P103" s="49"/>
      <c r="Q103" s="49"/>
      <c r="R103" s="49"/>
      <c r="S103" s="49"/>
      <c r="T103" s="49"/>
      <c r="U103" s="49"/>
      <c r="V103" s="49"/>
      <c r="W103" s="49"/>
    </row>
    <row r="104" spans="1:47">
      <c r="A104" s="49"/>
      <c r="B104" s="49"/>
      <c r="C104" s="49"/>
      <c r="D104" s="49"/>
      <c r="E104" s="49"/>
      <c r="F104" s="49"/>
      <c r="G104" s="49"/>
      <c r="H104" s="49"/>
      <c r="I104" s="49"/>
      <c r="J104" s="49"/>
      <c r="K104" s="49"/>
      <c r="L104" s="49"/>
      <c r="M104" s="49"/>
      <c r="N104" s="49"/>
      <c r="O104" s="49"/>
      <c r="P104" s="49"/>
      <c r="Q104" s="49"/>
      <c r="R104" s="49"/>
      <c r="S104" s="49"/>
      <c r="T104" s="49"/>
      <c r="U104" s="49"/>
      <c r="V104" s="49"/>
      <c r="W104" s="49"/>
      <c r="AB104" s="303">
        <f t="shared" ref="AB104" si="96">AC104-1</f>
        <v>35</v>
      </c>
      <c r="AC104" s="303">
        <f t="shared" ref="AC104" si="97">AD104-1</f>
        <v>36</v>
      </c>
      <c r="AD104" s="303">
        <f t="shared" ref="AD104" si="98">AE104-1</f>
        <v>37</v>
      </c>
      <c r="AE104" s="303">
        <f t="shared" ref="AE104" si="99">AF104-1</f>
        <v>38</v>
      </c>
      <c r="AF104" s="303">
        <f t="shared" ref="AF104" si="100">AG104-1</f>
        <v>39</v>
      </c>
      <c r="AG104" s="303">
        <f t="shared" ref="AG104" si="101">AH104-1</f>
        <v>40</v>
      </c>
      <c r="AH104" s="303">
        <f t="shared" ref="AH104" si="102">AI104-1</f>
        <v>41</v>
      </c>
      <c r="AI104" s="303">
        <f t="shared" ref="AI104" si="103">AJ104-1</f>
        <v>42</v>
      </c>
      <c r="AJ104" s="303">
        <f t="shared" ref="AJ104" si="104">AK104-1</f>
        <v>43</v>
      </c>
      <c r="AK104" s="303">
        <f t="shared" ref="AK104" si="105">AL104-1</f>
        <v>44</v>
      </c>
      <c r="AL104" s="303">
        <f t="shared" ref="AL104" si="106">AM104-1</f>
        <v>45</v>
      </c>
      <c r="AM104" s="303">
        <f t="shared" ref="AM104" si="107">AN104-1</f>
        <v>46</v>
      </c>
      <c r="AN104" s="303">
        <f t="shared" ref="AN104" si="108">AO104-1</f>
        <v>47</v>
      </c>
      <c r="AO104" s="303">
        <f t="shared" ref="AO104" si="109">AP104-1</f>
        <v>48</v>
      </c>
      <c r="AP104" s="303">
        <f t="shared" ref="AP104" si="110">AQ104-1</f>
        <v>49</v>
      </c>
      <c r="AQ104" s="303">
        <f t="shared" ref="AQ104" si="111">AR104-1</f>
        <v>50</v>
      </c>
      <c r="AR104" s="303">
        <f t="shared" ref="AR104" si="112">AS104-1</f>
        <v>51</v>
      </c>
      <c r="AS104" s="303">
        <f t="shared" ref="AS104" si="113">AT104-1</f>
        <v>52</v>
      </c>
      <c r="AT104" s="303">
        <f t="shared" ref="AT104" si="114">AU104-1</f>
        <v>53</v>
      </c>
      <c r="AU104" s="303">
        <f>VLOOKUP(AU105,Dates!$A:$D,2,FALSE)</f>
        <v>54</v>
      </c>
    </row>
    <row r="105" spans="1:47">
      <c r="A105" s="49"/>
      <c r="B105" s="49"/>
      <c r="C105" s="49"/>
      <c r="D105" s="49"/>
      <c r="E105" s="49"/>
      <c r="F105" s="49"/>
      <c r="G105" s="49"/>
      <c r="H105" s="49"/>
      <c r="I105" s="49"/>
      <c r="J105" s="49"/>
      <c r="K105" s="49"/>
      <c r="L105" s="49"/>
      <c r="M105" s="49"/>
      <c r="N105" s="49"/>
      <c r="O105" s="49"/>
      <c r="P105" s="49"/>
      <c r="Q105" s="49"/>
      <c r="R105" s="49"/>
      <c r="S105" s="49"/>
      <c r="T105" s="49"/>
      <c r="U105" s="49"/>
      <c r="V105" s="49"/>
      <c r="W105" s="49"/>
      <c r="AB105" s="303" t="str">
        <f>IFERROR(VLOOKUP(AB104,Dates!$B:$D,3,FALSE),"")</f>
        <v>3Q20</v>
      </c>
      <c r="AC105" s="303" t="str">
        <f>IFERROR(VLOOKUP(AC104,Dates!$B:$D,3,FALSE),"")</f>
        <v>4Q20</v>
      </c>
      <c r="AD105" s="303" t="str">
        <f>IFERROR(VLOOKUP(AD104,Dates!$B:$D,3,FALSE),"")</f>
        <v>1Q21</v>
      </c>
      <c r="AE105" s="303" t="str">
        <f>IFERROR(VLOOKUP(AE104,Dates!$B:$D,3,FALSE),"")</f>
        <v>2Q21</v>
      </c>
      <c r="AF105" s="303" t="str">
        <f>IFERROR(VLOOKUP(AF104,Dates!$B:$D,3,FALSE),"")</f>
        <v>3Q21</v>
      </c>
      <c r="AG105" s="303" t="str">
        <f>IFERROR(VLOOKUP(AG104,Dates!$B:$D,3,FALSE),"")</f>
        <v>4Q21</v>
      </c>
      <c r="AH105" s="303" t="str">
        <f>IFERROR(VLOOKUP(AH104,Dates!$B:$D,3,FALSE),"")</f>
        <v>1Q22</v>
      </c>
      <c r="AI105" s="303" t="str">
        <f>IFERROR(VLOOKUP(AI104,Dates!$B:$D,3,FALSE),"")</f>
        <v>2Q22</v>
      </c>
      <c r="AJ105" s="303" t="str">
        <f>IFERROR(VLOOKUP(AJ104,Dates!$B:$D,3,FALSE),"")</f>
        <v>3Q22</v>
      </c>
      <c r="AK105" s="303" t="str">
        <f>IFERROR(VLOOKUP(AK104,Dates!$B:$D,3,FALSE),"")</f>
        <v>4Q22</v>
      </c>
      <c r="AL105" s="303" t="str">
        <f>IFERROR(VLOOKUP(AL104,Dates!$B:$D,3,FALSE),"")</f>
        <v>1Q23</v>
      </c>
      <c r="AM105" s="303" t="str">
        <f>IFERROR(VLOOKUP(AM104,Dates!$B:$D,3,FALSE),"")</f>
        <v>2Q23</v>
      </c>
      <c r="AN105" s="303" t="str">
        <f>IFERROR(VLOOKUP(AN104,Dates!$B:$D,3,FALSE),"")</f>
        <v>3Q23</v>
      </c>
      <c r="AO105" s="303" t="str">
        <f>IFERROR(VLOOKUP(AO104,Dates!$B:$D,3,FALSE),"")</f>
        <v>4Q23</v>
      </c>
      <c r="AP105" s="303" t="str">
        <f>IFERROR(VLOOKUP(AP104,Dates!$B:$D,3,FALSE),"")</f>
        <v>1Q24</v>
      </c>
      <c r="AQ105" s="303" t="str">
        <f>IFERROR(VLOOKUP(AQ104,Dates!$B:$D,3,FALSE),"")</f>
        <v>2Q24</v>
      </c>
      <c r="AR105" s="303" t="str">
        <f>IFERROR(VLOOKUP(AR104,Dates!$B:$D,3,FALSE),"")</f>
        <v>3Q24</v>
      </c>
      <c r="AS105" s="303" t="str">
        <f>IFERROR(VLOOKUP(AS104,Dates!$B:$D,3,FALSE),"")</f>
        <v>4Q24</v>
      </c>
      <c r="AT105" s="303" t="str">
        <f>IFERROR(VLOOKUP(AT104,Dates!$B:$D,3,FALSE),"")</f>
        <v>1Q25</v>
      </c>
      <c r="AU105" s="315" t="str">
        <f>$G$3</f>
        <v>2Q25</v>
      </c>
    </row>
    <row r="106" spans="1:47">
      <c r="A106" s="49"/>
      <c r="B106" s="49"/>
      <c r="C106" s="49"/>
      <c r="D106" s="49"/>
      <c r="E106" s="49"/>
      <c r="F106" s="49"/>
      <c r="G106" s="49"/>
      <c r="H106" s="49"/>
      <c r="I106" s="49"/>
      <c r="J106" s="49"/>
      <c r="K106" s="49"/>
      <c r="L106" s="49"/>
      <c r="M106" s="49"/>
      <c r="N106" s="49"/>
      <c r="O106" s="49"/>
      <c r="P106" s="49"/>
      <c r="Q106" s="49"/>
      <c r="R106" s="49"/>
      <c r="S106" s="49"/>
      <c r="T106" s="49"/>
      <c r="U106" s="49"/>
      <c r="V106" s="49"/>
      <c r="W106" s="49"/>
      <c r="AA106" s="316" t="str">
        <f>'Domestic Mobile Operations'!A48</f>
        <v>Mobile Service Revenue Growth YoY</v>
      </c>
      <c r="AB106" s="318">
        <f>IFERROR(INDEX('Domestic Mobile Operations'!$A:$ABB,MATCH($AA106,'Domestic Mobile Operations'!$A:$A,0),MATCH(AB105,'Domestic Mobile Operations'!$1:$1,0)),"")</f>
        <v>0.13366244646480729</v>
      </c>
      <c r="AC106" s="318">
        <f>IFERROR(INDEX('Domestic Mobile Operations'!$A:$ABB,MATCH($AA106,'Domestic Mobile Operations'!$A:$A,0),MATCH(AC105,'Domestic Mobile Operations'!$1:$1,0)),"")</f>
        <v>0.23513874320587402</v>
      </c>
      <c r="AD106" s="318">
        <f>IFERROR(INDEX('Domestic Mobile Operations'!$A:$ABB,MATCH($AA106,'Domestic Mobile Operations'!$A:$A,0),MATCH(AD105,'Domestic Mobile Operations'!$1:$1,0)),"")</f>
        <v>0.20077234694606472</v>
      </c>
      <c r="AE106" s="318">
        <f>IFERROR(INDEX('Domestic Mobile Operations'!$A:$ABB,MATCH($AA106,'Domestic Mobile Operations'!$A:$A,0),MATCH(AE105,'Domestic Mobile Operations'!$1:$1,0)),"")</f>
        <v>0.27933609640392865</v>
      </c>
      <c r="AF106" s="318">
        <f>IFERROR(INDEX('Domestic Mobile Operations'!$A:$ABB,MATCH($AA106,'Domestic Mobile Operations'!$A:$A,0),MATCH(AF105,'Domestic Mobile Operations'!$1:$1,0)),"")</f>
        <v>0.29674472830271603</v>
      </c>
      <c r="AG106" s="318">
        <f>IFERROR(INDEX('Domestic Mobile Operations'!$A:$ABB,MATCH($AA106,'Domestic Mobile Operations'!$A:$A,0),MATCH(AG105,'Domestic Mobile Operations'!$1:$1,0)),"")</f>
        <v>8.698846223625667E-2</v>
      </c>
      <c r="AH106" s="318">
        <f>IFERROR(INDEX('Domestic Mobile Operations'!$A:$ABB,MATCH($AA106,'Domestic Mobile Operations'!$A:$A,0),MATCH(AH105,'Domestic Mobile Operations'!$1:$1,0)),"")</f>
        <v>0.11093004917470184</v>
      </c>
      <c r="AI106" s="318">
        <f>IFERROR(INDEX('Domestic Mobile Operations'!$A:$ABB,MATCH($AA106,'Domestic Mobile Operations'!$A:$A,0),MATCH(AI105,'Domestic Mobile Operations'!$1:$1,0)),"")</f>
        <v>9.8285227393652752E-2</v>
      </c>
      <c r="AJ106" s="318">
        <f>IFERROR(INDEX('Domestic Mobile Operations'!$A:$ABB,MATCH($AA106,'Domestic Mobile Operations'!$A:$A,0),MATCH(AJ105,'Domestic Mobile Operations'!$1:$1,0)),"")</f>
        <v>8.3796129054534152E-2</v>
      </c>
      <c r="AK106" s="318">
        <f>IFERROR(INDEX('Domestic Mobile Operations'!$A:$ABB,MATCH($AA106,'Domestic Mobile Operations'!$A:$A,0),MATCH(AK105,'Domestic Mobile Operations'!$1:$1,0)),"")</f>
        <v>0.2447896776328915</v>
      </c>
      <c r="AL106" s="318">
        <f>IFERROR(INDEX('Domestic Mobile Operations'!$A:$ABB,MATCH($AA106,'Domestic Mobile Operations'!$A:$A,0),MATCH(AL105,'Domestic Mobile Operations'!$1:$1,0)),"")</f>
        <v>0.26806805935719247</v>
      </c>
      <c r="AM106" s="318">
        <f>IFERROR(INDEX('Domestic Mobile Operations'!$A:$ABB,MATCH($AA106,'Domestic Mobile Operations'!$A:$A,0),MATCH(AM105,'Domestic Mobile Operations'!$1:$1,0)),"")</f>
        <v>0.2429571774944379</v>
      </c>
      <c r="AN106" s="318">
        <f>IFERROR(INDEX('Domestic Mobile Operations'!$A:$ABB,MATCH($AA106,'Domestic Mobile Operations'!$A:$A,0),MATCH(AN105,'Domestic Mobile Operations'!$1:$1,0)),"")</f>
        <v>0.20823196391933352</v>
      </c>
      <c r="AO106" s="318">
        <f>IFERROR(INDEX('Domestic Mobile Operations'!$A:$ABB,MATCH($AA106,'Domestic Mobile Operations'!$A:$A,0),MATCH(AO105,'Domestic Mobile Operations'!$1:$1,0)),"")</f>
        <v>0.11543010302502776</v>
      </c>
      <c r="AP106" s="318">
        <f>IFERROR(INDEX('Domestic Mobile Operations'!$A:$ABB,MATCH($AA106,'Domestic Mobile Operations'!$A:$A,0),MATCH(AP105,'Domestic Mobile Operations'!$1:$1,0)),"")</f>
        <v>0.12414367534175796</v>
      </c>
      <c r="AQ106" s="318">
        <f>IFERROR(INDEX('Domestic Mobile Operations'!$A:$ABB,MATCH($AA106,'Domestic Mobile Operations'!$A:$A,0),MATCH(AQ105,'Domestic Mobile Operations'!$1:$1,0)),"")</f>
        <v>0.10961792352200739</v>
      </c>
      <c r="AR106" s="318">
        <f>IFERROR(INDEX('Domestic Mobile Operations'!$A:$ABB,MATCH($AA106,'Domestic Mobile Operations'!$A:$A,0),MATCH(AR105,'Domestic Mobile Operations'!$1:$1,0)),"")</f>
        <v>0.11811833071773159</v>
      </c>
      <c r="AS106" s="318">
        <f>IFERROR(INDEX('Domestic Mobile Operations'!$A:$ABB,MATCH($AA106,'Domestic Mobile Operations'!$A:$A,0),MATCH(AS105,'Domestic Mobile Operations'!$1:$1,0)),"")</f>
        <v>0.12872201826789098</v>
      </c>
      <c r="AT106" s="318">
        <f>IFERROR(INDEX('Domestic Mobile Operations'!$A:$ABB,MATCH($AA106,'Domestic Mobile Operations'!$A:$A,0),MATCH(AT105,'Domestic Mobile Operations'!$1:$1,0)),"")</f>
        <v>0.10469543567206374</v>
      </c>
      <c r="AU106" s="318">
        <f>IFERROR(INDEX('Domestic Mobile Operations'!$A:$ABB,MATCH($AA106,'Domestic Mobile Operations'!$A:$A,0),MATCH(AU105,'Domestic Mobile Operations'!$1:$1,0)),"")</f>
        <v>0.1854232938193987</v>
      </c>
    </row>
    <row r="107" spans="1:47">
      <c r="A107" s="49"/>
      <c r="B107" s="49"/>
      <c r="C107" s="49"/>
      <c r="D107" s="49"/>
      <c r="E107" s="49"/>
      <c r="F107" s="49"/>
      <c r="G107" s="49"/>
      <c r="H107" s="49"/>
      <c r="I107" s="49"/>
      <c r="J107" s="49"/>
      <c r="K107" s="49"/>
      <c r="L107" s="49"/>
      <c r="M107" s="49"/>
      <c r="N107" s="49"/>
      <c r="O107" s="49"/>
      <c r="P107" s="49"/>
      <c r="Q107" s="49"/>
      <c r="R107" s="49"/>
      <c r="S107" s="49"/>
      <c r="T107" s="49"/>
      <c r="U107" s="49"/>
      <c r="V107" s="49"/>
      <c r="W107" s="49"/>
    </row>
    <row r="108" spans="1:47">
      <c r="A108" s="49"/>
      <c r="B108" s="49"/>
      <c r="C108" s="49"/>
      <c r="D108" s="49"/>
      <c r="E108" s="49"/>
      <c r="F108" s="49"/>
      <c r="G108" s="49"/>
      <c r="H108" s="49"/>
      <c r="I108" s="49"/>
      <c r="J108" s="49"/>
      <c r="K108" s="49"/>
      <c r="L108" s="49"/>
      <c r="M108" s="49"/>
      <c r="N108" s="49"/>
      <c r="O108" s="49"/>
      <c r="P108" s="49"/>
      <c r="Q108" s="49"/>
      <c r="R108" s="49"/>
      <c r="S108" s="49"/>
      <c r="T108" s="49"/>
      <c r="U108" s="49"/>
      <c r="V108" s="49"/>
      <c r="W108" s="49"/>
    </row>
    <row r="109" spans="1:47">
      <c r="A109" s="49"/>
      <c r="B109" s="49"/>
      <c r="C109" s="49"/>
      <c r="D109" s="49"/>
      <c r="E109" s="49"/>
      <c r="F109" s="49"/>
      <c r="G109" s="49"/>
      <c r="H109" s="49"/>
      <c r="I109" s="49"/>
      <c r="J109" s="49"/>
      <c r="K109" s="49"/>
      <c r="L109" s="49"/>
      <c r="M109" s="49"/>
      <c r="N109" s="49"/>
      <c r="O109" s="49"/>
      <c r="P109" s="49"/>
      <c r="Q109" s="49"/>
      <c r="R109" s="49"/>
      <c r="S109" s="49"/>
      <c r="T109" s="49"/>
      <c r="U109" s="49"/>
      <c r="V109" s="49"/>
      <c r="W109" s="49"/>
    </row>
    <row r="110" spans="1:47">
      <c r="A110" s="49"/>
      <c r="B110" s="49"/>
      <c r="C110" s="49"/>
      <c r="D110" s="49"/>
      <c r="E110" s="49"/>
      <c r="F110" s="49"/>
      <c r="G110" s="49"/>
      <c r="H110" s="49"/>
      <c r="I110" s="49"/>
      <c r="J110" s="49"/>
      <c r="K110" s="49"/>
      <c r="L110" s="49"/>
      <c r="M110" s="49"/>
      <c r="N110" s="49"/>
      <c r="O110" s="49"/>
      <c r="P110" s="49"/>
      <c r="Q110" s="49"/>
      <c r="R110" s="49"/>
      <c r="S110" s="49"/>
      <c r="T110" s="49"/>
      <c r="U110" s="49"/>
      <c r="V110" s="49"/>
      <c r="W110" s="49"/>
      <c r="AB110" s="303">
        <f t="shared" ref="AB110" si="115">AC110-1</f>
        <v>35</v>
      </c>
      <c r="AC110" s="303">
        <f t="shared" ref="AC110" si="116">AD110-1</f>
        <v>36</v>
      </c>
      <c r="AD110" s="303">
        <f t="shared" ref="AD110" si="117">AE110-1</f>
        <v>37</v>
      </c>
      <c r="AE110" s="303">
        <f t="shared" ref="AE110" si="118">AF110-1</f>
        <v>38</v>
      </c>
      <c r="AF110" s="303">
        <f t="shared" ref="AF110" si="119">AG110-1</f>
        <v>39</v>
      </c>
      <c r="AG110" s="303">
        <f t="shared" ref="AG110" si="120">AH110-1</f>
        <v>40</v>
      </c>
      <c r="AH110" s="303">
        <f t="shared" ref="AH110" si="121">AI110-1</f>
        <v>41</v>
      </c>
      <c r="AI110" s="303">
        <f t="shared" ref="AI110" si="122">AJ110-1</f>
        <v>42</v>
      </c>
      <c r="AJ110" s="303">
        <f t="shared" ref="AJ110" si="123">AK110-1</f>
        <v>43</v>
      </c>
      <c r="AK110" s="303">
        <f t="shared" ref="AK110" si="124">AL110-1</f>
        <v>44</v>
      </c>
      <c r="AL110" s="303">
        <f t="shared" ref="AL110" si="125">AM110-1</f>
        <v>45</v>
      </c>
      <c r="AM110" s="303">
        <f t="shared" ref="AM110" si="126">AN110-1</f>
        <v>46</v>
      </c>
      <c r="AN110" s="303">
        <f t="shared" ref="AN110" si="127">AO110-1</f>
        <v>47</v>
      </c>
      <c r="AO110" s="303">
        <f t="shared" ref="AO110" si="128">AP110-1</f>
        <v>48</v>
      </c>
      <c r="AP110" s="303">
        <f t="shared" ref="AP110" si="129">AQ110-1</f>
        <v>49</v>
      </c>
      <c r="AQ110" s="303">
        <f t="shared" ref="AQ110" si="130">AR110-1</f>
        <v>50</v>
      </c>
      <c r="AR110" s="303">
        <f t="shared" ref="AR110" si="131">AS110-1</f>
        <v>51</v>
      </c>
      <c r="AS110" s="303">
        <f t="shared" ref="AS110" si="132">AT110-1</f>
        <v>52</v>
      </c>
      <c r="AT110" s="303">
        <f t="shared" ref="AT110" si="133">AU110-1</f>
        <v>53</v>
      </c>
      <c r="AU110" s="303">
        <f>VLOOKUP(AU111,Dates!$A:$D,2,FALSE)</f>
        <v>54</v>
      </c>
    </row>
    <row r="111" spans="1:47">
      <c r="A111" s="49"/>
      <c r="B111" s="49"/>
      <c r="C111" s="49"/>
      <c r="D111" s="49"/>
      <c r="E111" s="49"/>
      <c r="F111" s="49"/>
      <c r="G111" s="49"/>
      <c r="H111" s="49"/>
      <c r="I111" s="49"/>
      <c r="J111" s="49"/>
      <c r="K111" s="49"/>
      <c r="L111" s="49"/>
      <c r="M111" s="49"/>
      <c r="N111" s="49"/>
      <c r="O111" s="49"/>
      <c r="P111" s="49"/>
      <c r="Q111" s="49"/>
      <c r="R111" s="49"/>
      <c r="S111" s="49"/>
      <c r="T111" s="49"/>
      <c r="U111" s="49"/>
      <c r="V111" s="49"/>
      <c r="W111" s="49"/>
      <c r="AB111" s="303" t="str">
        <f>IFERROR(VLOOKUP(AB110,Dates!$B:$D,3,FALSE),"")</f>
        <v>3Q20</v>
      </c>
      <c r="AC111" s="303" t="str">
        <f>IFERROR(VLOOKUP(AC110,Dates!$B:$D,3,FALSE),"")</f>
        <v>4Q20</v>
      </c>
      <c r="AD111" s="303" t="str">
        <f>IFERROR(VLOOKUP(AD110,Dates!$B:$D,3,FALSE),"")</f>
        <v>1Q21</v>
      </c>
      <c r="AE111" s="303" t="str">
        <f>IFERROR(VLOOKUP(AE110,Dates!$B:$D,3,FALSE),"")</f>
        <v>2Q21</v>
      </c>
      <c r="AF111" s="303" t="str">
        <f>IFERROR(VLOOKUP(AF110,Dates!$B:$D,3,FALSE),"")</f>
        <v>3Q21</v>
      </c>
      <c r="AG111" s="303" t="str">
        <f>IFERROR(VLOOKUP(AG110,Dates!$B:$D,3,FALSE),"")</f>
        <v>4Q21</v>
      </c>
      <c r="AH111" s="303" t="str">
        <f>IFERROR(VLOOKUP(AH110,Dates!$B:$D,3,FALSE),"")</f>
        <v>1Q22</v>
      </c>
      <c r="AI111" s="303" t="str">
        <f>IFERROR(VLOOKUP(AI110,Dates!$B:$D,3,FALSE),"")</f>
        <v>2Q22</v>
      </c>
      <c r="AJ111" s="303" t="str">
        <f>IFERROR(VLOOKUP(AJ110,Dates!$B:$D,3,FALSE),"")</f>
        <v>3Q22</v>
      </c>
      <c r="AK111" s="303" t="str">
        <f>IFERROR(VLOOKUP(AK110,Dates!$B:$D,3,FALSE),"")</f>
        <v>4Q22</v>
      </c>
      <c r="AL111" s="303" t="str">
        <f>IFERROR(VLOOKUP(AL110,Dates!$B:$D,3,FALSE),"")</f>
        <v>1Q23</v>
      </c>
      <c r="AM111" s="303" t="str">
        <f>IFERROR(VLOOKUP(AM110,Dates!$B:$D,3,FALSE),"")</f>
        <v>2Q23</v>
      </c>
      <c r="AN111" s="303" t="str">
        <f>IFERROR(VLOOKUP(AN110,Dates!$B:$D,3,FALSE),"")</f>
        <v>3Q23</v>
      </c>
      <c r="AO111" s="303" t="str">
        <f>IFERROR(VLOOKUP(AO110,Dates!$B:$D,3,FALSE),"")</f>
        <v>4Q23</v>
      </c>
      <c r="AP111" s="303" t="str">
        <f>IFERROR(VLOOKUP(AP110,Dates!$B:$D,3,FALSE),"")</f>
        <v>1Q24</v>
      </c>
      <c r="AQ111" s="303" t="str">
        <f>IFERROR(VLOOKUP(AQ110,Dates!$B:$D,3,FALSE),"")</f>
        <v>2Q24</v>
      </c>
      <c r="AR111" s="303" t="str">
        <f>IFERROR(VLOOKUP(AR110,Dates!$B:$D,3,FALSE),"")</f>
        <v>3Q24</v>
      </c>
      <c r="AS111" s="303" t="str">
        <f>IFERROR(VLOOKUP(AS110,Dates!$B:$D,3,FALSE),"")</f>
        <v>4Q24</v>
      </c>
      <c r="AT111" s="303" t="str">
        <f>IFERROR(VLOOKUP(AT110,Dates!$B:$D,3,FALSE),"")</f>
        <v>1Q25</v>
      </c>
      <c r="AU111" s="315" t="str">
        <f>$G$3</f>
        <v>2Q25</v>
      </c>
    </row>
    <row r="112" spans="1:47">
      <c r="A112" s="49"/>
      <c r="B112" s="49"/>
      <c r="C112" s="49"/>
      <c r="D112" s="49"/>
      <c r="E112" s="49"/>
      <c r="F112" s="49"/>
      <c r="G112" s="49"/>
      <c r="H112" s="49"/>
      <c r="I112" s="49"/>
      <c r="J112" s="49"/>
      <c r="K112" s="49"/>
      <c r="L112" s="49"/>
      <c r="M112" s="49"/>
      <c r="N112" s="49"/>
      <c r="O112" s="49"/>
      <c r="P112" s="49"/>
      <c r="Q112" s="49"/>
      <c r="R112" s="49"/>
      <c r="S112" s="49"/>
      <c r="T112" s="49"/>
      <c r="U112" s="49"/>
      <c r="V112" s="49"/>
      <c r="W112" s="49"/>
      <c r="AA112" s="316" t="str">
        <f>'Domestic Mobile Operations'!A18</f>
        <v>-Mobile Service Revenues</v>
      </c>
      <c r="AB112" s="317">
        <f>IFERROR(INDEX('Domestic Mobile Operations'!$A:$ABB,MATCH($AA112,'Domestic Mobile Operations'!$A:$A,0),MATCH(AB111,'Domestic Mobile Operations'!$1:$1,0)),"")</f>
        <v>113969.35306800001</v>
      </c>
      <c r="AC112" s="317">
        <f>IFERROR(INDEX('Domestic Mobile Operations'!$A:$ABB,MATCH($AA112,'Domestic Mobile Operations'!$A:$A,0),MATCH(AC111,'Domestic Mobile Operations'!$1:$1,0)),"")</f>
        <v>129529</v>
      </c>
      <c r="AD112" s="317">
        <f>IFERROR(INDEX('Domestic Mobile Operations'!$A:$ABB,MATCH($AA112,'Domestic Mobile Operations'!$A:$A,0),MATCH(AD111,'Domestic Mobile Operations'!$1:$1,0)),"")</f>
        <v>128771.034046</v>
      </c>
      <c r="AE112" s="317">
        <f>IFERROR(INDEX('Domestic Mobile Operations'!$A:$ABB,MATCH($AA112,'Domestic Mobile Operations'!$A:$A,0),MATCH(AE111,'Domestic Mobile Operations'!$1:$1,0)),"")</f>
        <v>138319.26007099997</v>
      </c>
      <c r="AF112" s="317">
        <f>IFERROR(INDEX('Domestic Mobile Operations'!$A:$ABB,MATCH($AA112,'Domestic Mobile Operations'!$A:$A,0),MATCH(AF111,'Domestic Mobile Operations'!$1:$1,0)),"")</f>
        <v>147789.157779</v>
      </c>
      <c r="AG112" s="317">
        <f>IFERROR(INDEX('Domestic Mobile Operations'!$A:$ABB,MATCH($AA112,'Domestic Mobile Operations'!$A:$A,0),MATCH(AG111,'Domestic Mobile Operations'!$1:$1,0)),"")</f>
        <v>140796.52852500009</v>
      </c>
      <c r="AH112" s="317">
        <f>IFERROR(INDEX('Domestic Mobile Operations'!$A:$ABB,MATCH($AA112,'Domestic Mobile Operations'!$A:$A,0),MATCH(AH111,'Domestic Mobile Operations'!$1:$1,0)),"")</f>
        <v>143055.61118499999</v>
      </c>
      <c r="AI112" s="317">
        <f>IFERROR(INDEX('Domestic Mobile Operations'!$A:$ABB,MATCH($AA112,'Domestic Mobile Operations'!$A:$A,0),MATCH(AI111,'Domestic Mobile Operations'!$1:$1,0)),"")</f>
        <v>151914</v>
      </c>
      <c r="AJ112" s="317">
        <f>IFERROR(INDEX('Domestic Mobile Operations'!$A:$ABB,MATCH($AA112,'Domestic Mobile Operations'!$A:$A,0),MATCH(AJ111,'Domestic Mobile Operations'!$1:$1,0)),"")</f>
        <v>160173.31711710998</v>
      </c>
      <c r="AK112" s="317">
        <f>IFERROR(INDEX('Domestic Mobile Operations'!$A:$ABB,MATCH($AA112,'Domestic Mobile Operations'!$A:$A,0),MATCH(AK111,'Domestic Mobile Operations'!$1:$1,0)),"")</f>
        <v>175262.06535446507</v>
      </c>
      <c r="AL112" s="317">
        <f>IFERROR(INDEX('Domestic Mobile Operations'!$A:$ABB,MATCH($AA112,'Domestic Mobile Operations'!$A:$A,0),MATCH(AL111,'Domestic Mobile Operations'!$1:$1,0)),"")</f>
        <v>181404.25125552001</v>
      </c>
      <c r="AM112" s="317">
        <f>IFERROR(INDEX('Domestic Mobile Operations'!$A:$ABB,MATCH($AA112,'Domestic Mobile Operations'!$A:$A,0),MATCH(AM111,'Domestic Mobile Operations'!$1:$1,0)),"")</f>
        <v>188822.59666189004</v>
      </c>
      <c r="AN112" s="317">
        <f>IFERROR(INDEX('Domestic Mobile Operations'!$A:$ABB,MATCH($AA112,'Domestic Mobile Operations'!$A:$A,0),MATCH(AN111,'Domestic Mobile Operations'!$1:$1,0)),"")</f>
        <v>193526.52150788001</v>
      </c>
      <c r="AO112" s="317">
        <f>IFERROR(INDEX('Domestic Mobile Operations'!$A:$ABB,MATCH($AA112,'Domestic Mobile Operations'!$A:$A,0),MATCH(AO111,'Domestic Mobile Operations'!$1:$1,0)),"")</f>
        <v>195492.58361471014</v>
      </c>
      <c r="AP112" s="317">
        <f>IFERROR(INDEX('Domestic Mobile Operations'!$A:$ABB,MATCH($AA112,'Domestic Mobile Operations'!$A:$A,0),MATCH(AP111,'Domestic Mobile Operations'!$1:$1,0)),"")</f>
        <v>203924.44172899998</v>
      </c>
      <c r="AQ112" s="317">
        <f>IFERROR(INDEX('Domestic Mobile Operations'!$A:$ABB,MATCH($AA112,'Domestic Mobile Operations'!$A:$A,0),MATCH(AQ111,'Domestic Mobile Operations'!$1:$1,0)),"")</f>
        <v>209520.93762199997</v>
      </c>
      <c r="AR112" s="317">
        <f>IFERROR(INDEX('Domestic Mobile Operations'!$A:$ABB,MATCH($AA112,'Domestic Mobile Operations'!$A:$A,0),MATCH(AR111,'Domestic Mobile Operations'!$1:$1,0)),"")</f>
        <v>216385.55117799997</v>
      </c>
      <c r="AS112" s="317">
        <f>IFERROR(INDEX('Domestic Mobile Operations'!$A:$ABB,MATCH($AA112,'Domestic Mobile Operations'!$A:$A,0),MATCH(AS111,'Domestic Mobile Operations'!$1:$1,0)),"")</f>
        <v>220656.78353400007</v>
      </c>
      <c r="AT112" s="317">
        <f>IFERROR(INDEX('Domestic Mobile Operations'!$A:$ABB,MATCH($AA112,'Domestic Mobile Operations'!$A:$A,0),MATCH(AT111,'Domestic Mobile Operations'!$1:$1,0)),"")</f>
        <v>225274.4</v>
      </c>
      <c r="AU112" s="317">
        <f>IFERROR(INDEX('Domestic Mobile Operations'!$A:$ABB,MATCH($AA112,'Domestic Mobile Operations'!$A:$A,0),MATCH(AU111,'Domestic Mobile Operations'!$1:$1,0)),"")</f>
        <v>248371</v>
      </c>
    </row>
    <row r="113" spans="1:47">
      <c r="A113" s="49"/>
      <c r="B113" s="49"/>
      <c r="C113" s="49"/>
      <c r="D113" s="49"/>
      <c r="E113" s="49"/>
      <c r="F113" s="49"/>
      <c r="G113" s="49"/>
      <c r="H113" s="49"/>
      <c r="I113" s="49"/>
      <c r="J113" s="49"/>
      <c r="K113" s="49"/>
      <c r="L113" s="49"/>
      <c r="M113" s="49"/>
      <c r="N113" s="49"/>
      <c r="O113" s="49"/>
      <c r="P113" s="49"/>
      <c r="Q113" s="49"/>
      <c r="R113" s="49"/>
      <c r="S113" s="49"/>
      <c r="T113" s="49"/>
      <c r="U113" s="49"/>
      <c r="V113" s="49"/>
      <c r="W113" s="49"/>
    </row>
    <row r="114" spans="1:47">
      <c r="A114" s="49"/>
      <c r="B114" s="49"/>
      <c r="C114" s="49"/>
      <c r="D114" s="49"/>
      <c r="E114" s="49"/>
      <c r="F114" s="49"/>
      <c r="G114" s="49"/>
      <c r="H114" s="49"/>
      <c r="I114" s="49"/>
      <c r="J114" s="49"/>
      <c r="K114" s="49"/>
      <c r="L114" s="49"/>
      <c r="M114" s="49"/>
      <c r="N114" s="49"/>
      <c r="O114" s="49"/>
      <c r="P114" s="49"/>
      <c r="Q114" s="49"/>
      <c r="R114" s="49"/>
      <c r="S114" s="49"/>
      <c r="T114" s="49"/>
      <c r="U114" s="49"/>
      <c r="V114" s="49"/>
      <c r="W114" s="49"/>
    </row>
    <row r="115" spans="1:47">
      <c r="A115" s="49"/>
      <c r="B115" s="49"/>
      <c r="C115" s="49"/>
      <c r="D115" s="49"/>
      <c r="E115" s="49"/>
      <c r="F115" s="49"/>
      <c r="G115" s="49"/>
      <c r="H115" s="49"/>
      <c r="I115" s="49"/>
      <c r="J115" s="49"/>
      <c r="K115" s="49"/>
      <c r="L115" s="49"/>
      <c r="M115" s="49"/>
      <c r="N115" s="49"/>
      <c r="O115" s="49"/>
      <c r="P115" s="49"/>
      <c r="Q115" s="49"/>
      <c r="R115" s="49"/>
      <c r="S115" s="49"/>
      <c r="T115" s="49"/>
      <c r="U115" s="49"/>
      <c r="V115" s="49"/>
      <c r="W115" s="49"/>
    </row>
    <row r="116" spans="1:47">
      <c r="A116" s="49"/>
      <c r="B116" s="49"/>
      <c r="C116" s="49"/>
      <c r="D116" s="49"/>
      <c r="E116" s="49"/>
      <c r="F116" s="49"/>
      <c r="G116" s="49"/>
      <c r="H116" s="49"/>
      <c r="I116" s="49"/>
      <c r="J116" s="49"/>
      <c r="K116" s="49"/>
      <c r="L116" s="49"/>
      <c r="M116" s="49"/>
      <c r="N116" s="49"/>
      <c r="O116" s="49"/>
      <c r="P116" s="49"/>
      <c r="Q116" s="49"/>
      <c r="R116" s="49"/>
      <c r="S116" s="49"/>
      <c r="T116" s="49"/>
      <c r="U116" s="49"/>
      <c r="V116" s="49"/>
      <c r="W116" s="49"/>
    </row>
    <row r="117" spans="1:47">
      <c r="A117" s="49"/>
      <c r="B117" s="49"/>
      <c r="C117" s="49"/>
      <c r="D117" s="49"/>
      <c r="E117" s="49"/>
      <c r="F117" s="49"/>
      <c r="G117" s="49"/>
      <c r="H117" s="49"/>
      <c r="I117" s="49"/>
      <c r="J117" s="49"/>
      <c r="K117" s="49"/>
      <c r="L117" s="49"/>
      <c r="M117" s="49"/>
      <c r="N117" s="49"/>
      <c r="O117" s="49"/>
      <c r="P117" s="49"/>
      <c r="Q117" s="49"/>
      <c r="R117" s="49"/>
      <c r="S117" s="49"/>
      <c r="T117" s="49"/>
      <c r="U117" s="49"/>
      <c r="V117" s="49"/>
      <c r="W117" s="49"/>
    </row>
    <row r="118" spans="1:47">
      <c r="A118" s="49" t="s">
        <v>602</v>
      </c>
      <c r="B118" s="49"/>
      <c r="C118" s="49"/>
      <c r="D118" s="49"/>
      <c r="E118" s="49"/>
      <c r="F118" s="49"/>
      <c r="G118" s="49"/>
      <c r="H118" s="49"/>
      <c r="I118" s="49"/>
      <c r="J118" s="49"/>
      <c r="K118" s="49"/>
      <c r="L118" s="49"/>
      <c r="M118" s="49"/>
      <c r="N118" s="49"/>
      <c r="O118" s="49"/>
      <c r="P118" s="49"/>
      <c r="Q118" s="49"/>
      <c r="R118" s="49"/>
      <c r="S118" s="49"/>
      <c r="T118" s="49"/>
      <c r="U118" s="49"/>
      <c r="V118" s="49"/>
      <c r="W118" s="49"/>
    </row>
    <row r="119" spans="1:47">
      <c r="A119" s="49"/>
      <c r="B119" s="49"/>
      <c r="C119" s="49"/>
      <c r="D119" s="49"/>
      <c r="E119" s="49"/>
      <c r="F119" s="49"/>
      <c r="G119" s="49"/>
      <c r="H119" s="49"/>
      <c r="I119" s="49"/>
      <c r="J119" s="49"/>
      <c r="K119" s="49"/>
      <c r="L119" s="49"/>
      <c r="M119" s="49"/>
      <c r="N119" s="49"/>
      <c r="O119" s="49"/>
      <c r="P119" s="49"/>
      <c r="Q119" s="49"/>
      <c r="R119" s="49"/>
      <c r="S119" s="49"/>
      <c r="T119" s="49"/>
      <c r="U119" s="49"/>
      <c r="V119" s="49"/>
      <c r="W119" s="49"/>
    </row>
    <row r="120" spans="1:47">
      <c r="A120" s="1" t="s">
        <v>445</v>
      </c>
      <c r="B120" s="1" t="s">
        <v>505</v>
      </c>
      <c r="C120" s="1"/>
      <c r="D120" s="1"/>
      <c r="E120" s="1"/>
      <c r="F120" s="1"/>
      <c r="G120" s="1"/>
      <c r="H120" s="1"/>
      <c r="I120" s="1"/>
      <c r="J120" s="1"/>
      <c r="K120" s="1" t="s">
        <v>446</v>
      </c>
      <c r="L120" s="1" t="s">
        <v>524</v>
      </c>
      <c r="M120" s="1"/>
      <c r="N120" s="1"/>
      <c r="O120" s="1"/>
      <c r="P120" s="1"/>
      <c r="Q120" s="1"/>
      <c r="R120" s="1"/>
      <c r="S120" s="1"/>
      <c r="T120" s="1"/>
      <c r="U120" s="49"/>
      <c r="V120" s="49"/>
      <c r="W120" s="49"/>
    </row>
    <row r="121" spans="1:47">
      <c r="A121" s="49"/>
      <c r="B121" s="49"/>
      <c r="C121" s="49"/>
      <c r="D121" s="49"/>
      <c r="E121" s="49"/>
      <c r="F121" s="49"/>
      <c r="G121" s="49"/>
      <c r="H121" s="49"/>
      <c r="I121" s="49"/>
      <c r="J121" s="49"/>
      <c r="K121" s="49"/>
      <c r="L121" s="49"/>
      <c r="M121" s="49"/>
      <c r="N121" s="49"/>
      <c r="O121" s="49"/>
      <c r="P121" s="49"/>
      <c r="Q121" s="49"/>
      <c r="R121" s="49"/>
      <c r="S121" s="49"/>
      <c r="T121" s="49"/>
      <c r="U121" s="49"/>
      <c r="V121" s="49"/>
      <c r="W121" s="49"/>
    </row>
    <row r="122" spans="1:47">
      <c r="A122" s="49"/>
      <c r="B122" s="49"/>
      <c r="C122" s="49"/>
      <c r="D122" s="49"/>
      <c r="E122" s="49"/>
      <c r="F122" s="49"/>
      <c r="G122" s="49"/>
      <c r="H122" s="49"/>
      <c r="I122" s="49"/>
      <c r="J122" s="49"/>
      <c r="K122" s="49"/>
      <c r="L122" s="49"/>
      <c r="M122" s="49"/>
      <c r="N122" s="49"/>
      <c r="O122" s="49"/>
      <c r="P122" s="49"/>
      <c r="Q122" s="49"/>
      <c r="R122" s="49"/>
      <c r="S122" s="49"/>
      <c r="T122" s="49"/>
      <c r="U122" s="49"/>
      <c r="V122" s="49"/>
      <c r="W122" s="49"/>
    </row>
    <row r="123" spans="1:47">
      <c r="A123" s="49"/>
      <c r="B123" s="49"/>
      <c r="C123" s="49"/>
      <c r="D123" s="49"/>
      <c r="E123" s="49"/>
      <c r="F123" s="49"/>
      <c r="G123" s="49"/>
      <c r="H123" s="49"/>
      <c r="I123" s="49"/>
      <c r="J123" s="49"/>
      <c r="K123" s="49"/>
      <c r="L123" s="49"/>
      <c r="M123" s="49"/>
      <c r="N123" s="49"/>
      <c r="O123" s="49"/>
      <c r="P123" s="49"/>
      <c r="Q123" s="49"/>
      <c r="R123" s="49"/>
      <c r="S123" s="49"/>
      <c r="T123" s="49"/>
      <c r="U123" s="49"/>
      <c r="V123" s="49"/>
      <c r="W123" s="49"/>
    </row>
    <row r="124" spans="1:47">
      <c r="A124" s="49"/>
      <c r="B124" s="49"/>
      <c r="C124" s="49"/>
      <c r="D124" s="49"/>
      <c r="E124" s="49"/>
      <c r="F124" s="49"/>
      <c r="G124" s="49"/>
      <c r="H124" s="49"/>
      <c r="I124" s="49"/>
      <c r="J124" s="49"/>
      <c r="K124" s="49"/>
      <c r="L124" s="49"/>
      <c r="M124" s="49"/>
      <c r="N124" s="49"/>
      <c r="O124" s="49"/>
      <c r="P124" s="49"/>
      <c r="Q124" s="49"/>
      <c r="R124" s="49"/>
      <c r="S124" s="49"/>
      <c r="T124" s="49"/>
      <c r="U124" s="49"/>
      <c r="V124" s="49"/>
      <c r="W124" s="49"/>
      <c r="AB124" s="303">
        <f t="shared" ref="AB124" si="134">AC124-1</f>
        <v>35</v>
      </c>
      <c r="AC124" s="303">
        <f t="shared" ref="AC124" si="135">AD124-1</f>
        <v>36</v>
      </c>
      <c r="AD124" s="303">
        <f t="shared" ref="AD124" si="136">AE124-1</f>
        <v>37</v>
      </c>
      <c r="AE124" s="303">
        <f t="shared" ref="AE124" si="137">AF124-1</f>
        <v>38</v>
      </c>
      <c r="AF124" s="303">
        <f t="shared" ref="AF124" si="138">AG124-1</f>
        <v>39</v>
      </c>
      <c r="AG124" s="303">
        <f t="shared" ref="AG124" si="139">AH124-1</f>
        <v>40</v>
      </c>
      <c r="AH124" s="303">
        <f t="shared" ref="AH124" si="140">AI124-1</f>
        <v>41</v>
      </c>
      <c r="AI124" s="303">
        <f t="shared" ref="AI124" si="141">AJ124-1</f>
        <v>42</v>
      </c>
      <c r="AJ124" s="303">
        <f t="shared" ref="AJ124" si="142">AK124-1</f>
        <v>43</v>
      </c>
      <c r="AK124" s="303">
        <f t="shared" ref="AK124" si="143">AL124-1</f>
        <v>44</v>
      </c>
      <c r="AL124" s="303">
        <f t="shared" ref="AL124" si="144">AM124-1</f>
        <v>45</v>
      </c>
      <c r="AM124" s="303">
        <f t="shared" ref="AM124" si="145">AN124-1</f>
        <v>46</v>
      </c>
      <c r="AN124" s="303">
        <f t="shared" ref="AN124" si="146">AO124-1</f>
        <v>47</v>
      </c>
      <c r="AO124" s="303">
        <f t="shared" ref="AO124" si="147">AP124-1</f>
        <v>48</v>
      </c>
      <c r="AP124" s="303">
        <f t="shared" ref="AP124" si="148">AQ124-1</f>
        <v>49</v>
      </c>
      <c r="AQ124" s="303">
        <f t="shared" ref="AQ124" si="149">AR124-1</f>
        <v>50</v>
      </c>
      <c r="AR124" s="303">
        <f t="shared" ref="AR124" si="150">AS124-1</f>
        <v>51</v>
      </c>
      <c r="AS124" s="303">
        <f t="shared" ref="AS124" si="151">AT124-1</f>
        <v>52</v>
      </c>
      <c r="AT124" s="303">
        <f t="shared" ref="AT124" si="152">AU124-1</f>
        <v>53</v>
      </c>
      <c r="AU124" s="303">
        <f>VLOOKUP(AU125,Dates!$A:$D,2,FALSE)</f>
        <v>54</v>
      </c>
    </row>
    <row r="125" spans="1:47">
      <c r="A125" s="49"/>
      <c r="B125" s="49"/>
      <c r="C125" s="49"/>
      <c r="D125" s="49"/>
      <c r="E125" s="49"/>
      <c r="F125" s="49"/>
      <c r="G125" s="49"/>
      <c r="H125" s="49"/>
      <c r="I125" s="49"/>
      <c r="J125" s="49"/>
      <c r="K125" s="49"/>
      <c r="L125" s="49"/>
      <c r="M125" s="49"/>
      <c r="N125" s="49"/>
      <c r="O125" s="49"/>
      <c r="P125" s="49"/>
      <c r="Q125" s="49"/>
      <c r="R125" s="49"/>
      <c r="S125" s="49"/>
      <c r="T125" s="49"/>
      <c r="U125" s="49"/>
      <c r="V125" s="49"/>
      <c r="W125" s="49"/>
      <c r="AB125" s="303" t="str">
        <f>IFERROR(VLOOKUP(AB124,Dates!$B:$D,3,FALSE),"")</f>
        <v>3Q20</v>
      </c>
      <c r="AC125" s="303" t="str">
        <f>IFERROR(VLOOKUP(AC124,Dates!$B:$D,3,FALSE),"")</f>
        <v>4Q20</v>
      </c>
      <c r="AD125" s="303" t="str">
        <f>IFERROR(VLOOKUP(AD124,Dates!$B:$D,3,FALSE),"")</f>
        <v>1Q21</v>
      </c>
      <c r="AE125" s="303" t="str">
        <f>IFERROR(VLOOKUP(AE124,Dates!$B:$D,3,FALSE),"")</f>
        <v>2Q21</v>
      </c>
      <c r="AF125" s="303" t="str">
        <f>IFERROR(VLOOKUP(AF124,Dates!$B:$D,3,FALSE),"")</f>
        <v>3Q21</v>
      </c>
      <c r="AG125" s="303" t="str">
        <f>IFERROR(VLOOKUP(AG124,Dates!$B:$D,3,FALSE),"")</f>
        <v>4Q21</v>
      </c>
      <c r="AH125" s="303" t="str">
        <f>IFERROR(VLOOKUP(AH124,Dates!$B:$D,3,FALSE),"")</f>
        <v>1Q22</v>
      </c>
      <c r="AI125" s="303" t="str">
        <f>IFERROR(VLOOKUP(AI124,Dates!$B:$D,3,FALSE),"")</f>
        <v>2Q22</v>
      </c>
      <c r="AJ125" s="303" t="str">
        <f>IFERROR(VLOOKUP(AJ124,Dates!$B:$D,3,FALSE),"")</f>
        <v>3Q22</v>
      </c>
      <c r="AK125" s="303" t="str">
        <f>IFERROR(VLOOKUP(AK124,Dates!$B:$D,3,FALSE),"")</f>
        <v>4Q22</v>
      </c>
      <c r="AL125" s="303" t="str">
        <f>IFERROR(VLOOKUP(AL124,Dates!$B:$D,3,FALSE),"")</f>
        <v>1Q23</v>
      </c>
      <c r="AM125" s="303" t="str">
        <f>IFERROR(VLOOKUP(AM124,Dates!$B:$D,3,FALSE),"")</f>
        <v>2Q23</v>
      </c>
      <c r="AN125" s="303" t="str">
        <f>IFERROR(VLOOKUP(AN124,Dates!$B:$D,3,FALSE),"")</f>
        <v>3Q23</v>
      </c>
      <c r="AO125" s="303" t="str">
        <f>IFERROR(VLOOKUP(AO124,Dates!$B:$D,3,FALSE),"")</f>
        <v>4Q23</v>
      </c>
      <c r="AP125" s="303" t="str">
        <f>IFERROR(VLOOKUP(AP124,Dates!$B:$D,3,FALSE),"")</f>
        <v>1Q24</v>
      </c>
      <c r="AQ125" s="303" t="str">
        <f>IFERROR(VLOOKUP(AQ124,Dates!$B:$D,3,FALSE),"")</f>
        <v>2Q24</v>
      </c>
      <c r="AR125" s="303" t="str">
        <f>IFERROR(VLOOKUP(AR124,Dates!$B:$D,3,FALSE),"")</f>
        <v>3Q24</v>
      </c>
      <c r="AS125" s="303" t="str">
        <f>IFERROR(VLOOKUP(AS124,Dates!$B:$D,3,FALSE),"")</f>
        <v>4Q24</v>
      </c>
      <c r="AT125" s="303" t="str">
        <f>IFERROR(VLOOKUP(AT124,Dates!$B:$D,3,FALSE),"")</f>
        <v>1Q25</v>
      </c>
      <c r="AU125" s="315" t="str">
        <f>$G$3</f>
        <v>2Q25</v>
      </c>
    </row>
    <row r="126" spans="1:47">
      <c r="A126" s="49"/>
      <c r="B126" s="49"/>
      <c r="C126" s="49"/>
      <c r="D126" s="49"/>
      <c r="E126" s="49"/>
      <c r="F126" s="49"/>
      <c r="G126" s="49"/>
      <c r="H126" s="49"/>
      <c r="I126" s="49"/>
      <c r="J126" s="49"/>
      <c r="K126" s="49"/>
      <c r="L126" s="49"/>
      <c r="M126" s="49"/>
      <c r="N126" s="49"/>
      <c r="O126" s="49"/>
      <c r="P126" s="49"/>
      <c r="Q126" s="49"/>
      <c r="R126" s="49"/>
      <c r="S126" s="49"/>
      <c r="T126" s="49"/>
      <c r="U126" s="49"/>
      <c r="V126" s="49"/>
      <c r="W126" s="49"/>
      <c r="AA126" s="316" t="str">
        <f>'Domestic Mobile Operations'!A49</f>
        <v>Mobile Service Revenue Growth QoQ</v>
      </c>
      <c r="AB126" s="318">
        <f>IFERROR(INDEX('Domestic Mobile Operations'!$A:$ABB,MATCH($AA126,'Domestic Mobile Operations'!$A:$A,0),MATCH(AB125,'Domestic Mobile Operations'!$1:$1,0)),"")</f>
        <v>5.4120063893153825E-2</v>
      </c>
      <c r="AC126" s="318">
        <f>IFERROR(INDEX('Domestic Mobile Operations'!$A:$ABB,MATCH($AA126,'Domestic Mobile Operations'!$A:$A,0),MATCH(AC125,'Domestic Mobile Operations'!$1:$1,0)),"")</f>
        <v>0.13652483332704635</v>
      </c>
      <c r="AD126" s="318">
        <f>IFERROR(INDEX('Domestic Mobile Operations'!$A:$ABB,MATCH($AA126,'Domestic Mobile Operations'!$A:$A,0),MATCH(AD125,'Domestic Mobile Operations'!$1:$1,0)),"")</f>
        <v>-5.85170852859207E-3</v>
      </c>
      <c r="AE126" s="318">
        <f>IFERROR(INDEX('Domestic Mobile Operations'!$A:$ABB,MATCH($AA126,'Domestic Mobile Operations'!$A:$A,0),MATCH(AE125,'Domestic Mobile Operations'!$1:$1,0)),"")</f>
        <v>7.4148865043586643E-2</v>
      </c>
      <c r="AF126" s="318">
        <f>IFERROR(INDEX('Domestic Mobile Operations'!$A:$ABB,MATCH($AA126,'Domestic Mobile Operations'!$A:$A,0),MATCH(AF125,'Domestic Mobile Operations'!$1:$1,0)),"")</f>
        <v>6.846405701663727E-2</v>
      </c>
      <c r="AG126" s="318">
        <f>IFERROR(INDEX('Domestic Mobile Operations'!$A:$ABB,MATCH($AA126,'Domestic Mobile Operations'!$A:$A,0),MATCH(AG125,'Domestic Mobile Operations'!$1:$1,0)),"")</f>
        <v>-4.7314900220600142E-2</v>
      </c>
      <c r="AH126" s="318">
        <f>IFERROR(INDEX('Domestic Mobile Operations'!$A:$ABB,MATCH($AA126,'Domestic Mobile Operations'!$A:$A,0),MATCH(AH125,'Domestic Mobile Operations'!$1:$1,0)),"")</f>
        <v>1.6045016760471986E-2</v>
      </c>
      <c r="AI126" s="318">
        <f>IFERROR(INDEX('Domestic Mobile Operations'!$A:$ABB,MATCH($AA126,'Domestic Mobile Operations'!$A:$A,0),MATCH(AI125,'Domestic Mobile Operations'!$1:$1,0)),"")</f>
        <v>6.1922693850465782E-2</v>
      </c>
      <c r="AJ126" s="318">
        <f>IFERROR(INDEX('Domestic Mobile Operations'!$A:$ABB,MATCH($AA126,'Domestic Mobile Operations'!$A:$A,0),MATCH(AJ125,'Domestic Mobile Operations'!$1:$1,0)),"")</f>
        <v>5.4368373666087377E-2</v>
      </c>
      <c r="AK126" s="318">
        <f>IFERROR(INDEX('Domestic Mobile Operations'!$A:$ABB,MATCH($AA126,'Domestic Mobile Operations'!$A:$A,0),MATCH(AK125,'Domestic Mobile Operations'!$1:$1,0)),"")</f>
        <v>9.4202633178427808E-2</v>
      </c>
      <c r="AL126" s="318">
        <f>IFERROR(INDEX('Domestic Mobile Operations'!$A:$ABB,MATCH($AA126,'Domestic Mobile Operations'!$A:$A,0),MATCH(AL125,'Domestic Mobile Operations'!$1:$1,0)),"")</f>
        <v>3.5045723606146328E-2</v>
      </c>
      <c r="AM126" s="318">
        <f>IFERROR(INDEX('Domestic Mobile Operations'!$A:$ABB,MATCH($AA126,'Domestic Mobile Operations'!$A:$A,0),MATCH(AM125,'Domestic Mobile Operations'!$1:$1,0)),"")</f>
        <v>4.0893999754839205E-2</v>
      </c>
      <c r="AN126" s="318">
        <f>IFERROR(INDEX('Domestic Mobile Operations'!$A:$ABB,MATCH($AA126,'Domestic Mobile Operations'!$A:$A,0),MATCH(AN125,'Domestic Mobile Operations'!$1:$1,0)),"")</f>
        <v>2.4911874580418658E-2</v>
      </c>
      <c r="AO126" s="318">
        <f>IFERROR(INDEX('Domestic Mobile Operations'!$A:$ABB,MATCH($AA126,'Domestic Mobile Operations'!$A:$A,0),MATCH(AO125,'Domestic Mobile Operations'!$1:$1,0)),"")</f>
        <v>1.0159135251909479E-2</v>
      </c>
      <c r="AP126" s="318">
        <f>IFERROR(INDEX('Domestic Mobile Operations'!$A:$ABB,MATCH($AA126,'Domestic Mobile Operations'!$A:$A,0),MATCH(AP125,'Domestic Mobile Operations'!$1:$1,0)),"")</f>
        <v>4.3131345232553242E-2</v>
      </c>
      <c r="AQ126" s="318">
        <f>IFERROR(INDEX('Domestic Mobile Operations'!$A:$ABB,MATCH($AA126,'Domestic Mobile Operations'!$A:$A,0),MATCH(AQ125,'Domestic Mobile Operations'!$1:$1,0)),"")</f>
        <v>2.7443968195030255E-2</v>
      </c>
      <c r="AR126" s="318">
        <f>IFERROR(INDEX('Domestic Mobile Operations'!$A:$ABB,MATCH($AA126,'Domestic Mobile Operations'!$A:$A,0),MATCH(AR125,'Domestic Mobile Operations'!$1:$1,0)),"")</f>
        <v>3.276337741665003E-2</v>
      </c>
      <c r="AS126" s="318">
        <f>IFERROR(INDEX('Domestic Mobile Operations'!$A:$ABB,MATCH($AA126,'Domestic Mobile Operations'!$A:$A,0),MATCH(AS125,'Domestic Mobile Operations'!$1:$1,0)),"")</f>
        <v>1.9738990578380022E-2</v>
      </c>
      <c r="AT126" s="318">
        <f>IFERROR(INDEX('Domestic Mobile Operations'!$A:$ABB,MATCH($AA126,'Domestic Mobile Operations'!$A:$A,0),MATCH(AT125,'Domestic Mobile Operations'!$1:$1,0)),"")</f>
        <v>2.0926691634152395E-2</v>
      </c>
      <c r="AU126" s="318">
        <f>IFERROR(INDEX('Domestic Mobile Operations'!$A:$ABB,MATCH($AA126,'Domestic Mobile Operations'!$A:$A,0),MATCH(AU125,'Domestic Mobile Operations'!$1:$1,0)),"")</f>
        <v>0.10252651876999797</v>
      </c>
    </row>
    <row r="127" spans="1:47">
      <c r="A127" s="49"/>
      <c r="B127" s="49"/>
      <c r="C127" s="49"/>
      <c r="D127" s="49"/>
      <c r="E127" s="49"/>
      <c r="F127" s="49"/>
      <c r="G127" s="49"/>
      <c r="H127" s="49"/>
      <c r="I127" s="49"/>
      <c r="J127" s="49"/>
      <c r="K127" s="49"/>
      <c r="L127" s="49"/>
      <c r="M127" s="49"/>
      <c r="N127" s="49"/>
      <c r="O127" s="49"/>
      <c r="P127" s="49"/>
      <c r="Q127" s="49"/>
      <c r="R127" s="49"/>
      <c r="S127" s="49"/>
      <c r="T127" s="49"/>
      <c r="U127" s="49"/>
      <c r="V127" s="49"/>
      <c r="W127" s="49"/>
    </row>
    <row r="128" spans="1:47">
      <c r="A128" s="49"/>
      <c r="B128" s="49"/>
      <c r="C128" s="49"/>
      <c r="D128" s="49"/>
      <c r="E128" s="49"/>
      <c r="F128" s="49"/>
      <c r="G128" s="49"/>
      <c r="H128" s="49"/>
      <c r="I128" s="49"/>
      <c r="J128" s="49"/>
      <c r="K128" s="49"/>
      <c r="L128" s="49"/>
      <c r="M128" s="49"/>
      <c r="N128" s="49"/>
      <c r="O128" s="49"/>
      <c r="P128" s="49"/>
      <c r="Q128" s="49"/>
      <c r="R128" s="49"/>
      <c r="S128" s="49"/>
      <c r="T128" s="49"/>
      <c r="U128" s="49"/>
      <c r="V128" s="49"/>
      <c r="W128" s="49"/>
    </row>
    <row r="129" spans="1:47">
      <c r="A129" s="49"/>
      <c r="B129" s="49"/>
      <c r="C129" s="49"/>
      <c r="D129" s="49"/>
      <c r="E129" s="49"/>
      <c r="F129" s="49"/>
      <c r="G129" s="49"/>
      <c r="H129" s="49"/>
      <c r="I129" s="49"/>
      <c r="J129" s="49"/>
      <c r="K129" s="49"/>
      <c r="L129" s="49"/>
      <c r="M129" s="49"/>
      <c r="N129" s="49"/>
      <c r="O129" s="49"/>
      <c r="P129" s="49"/>
      <c r="Q129" s="49"/>
      <c r="R129" s="49"/>
      <c r="S129" s="49"/>
      <c r="T129" s="49"/>
      <c r="U129" s="49"/>
      <c r="V129" s="49"/>
      <c r="W129" s="49"/>
    </row>
    <row r="130" spans="1:47">
      <c r="A130" s="49"/>
      <c r="B130" s="49"/>
      <c r="C130" s="49"/>
      <c r="D130" s="49"/>
      <c r="E130" s="49"/>
      <c r="F130" s="49"/>
      <c r="G130" s="49"/>
      <c r="H130" s="49"/>
      <c r="I130" s="49"/>
      <c r="J130" s="49"/>
      <c r="K130" s="49"/>
      <c r="L130" s="49"/>
      <c r="M130" s="49"/>
      <c r="N130" s="49"/>
      <c r="O130" s="49"/>
      <c r="P130" s="49"/>
      <c r="Q130" s="49"/>
      <c r="R130" s="49"/>
      <c r="S130" s="49"/>
      <c r="T130" s="49"/>
      <c r="U130" s="49"/>
      <c r="V130" s="49"/>
      <c r="W130" s="49"/>
      <c r="AB130" s="303">
        <f t="shared" ref="AB130" si="153">AC130-1</f>
        <v>35</v>
      </c>
      <c r="AC130" s="303">
        <f t="shared" ref="AC130" si="154">AD130-1</f>
        <v>36</v>
      </c>
      <c r="AD130" s="303">
        <f t="shared" ref="AD130" si="155">AE130-1</f>
        <v>37</v>
      </c>
      <c r="AE130" s="303">
        <f t="shared" ref="AE130" si="156">AF130-1</f>
        <v>38</v>
      </c>
      <c r="AF130" s="303">
        <f t="shared" ref="AF130" si="157">AG130-1</f>
        <v>39</v>
      </c>
      <c r="AG130" s="303">
        <f t="shared" ref="AG130" si="158">AH130-1</f>
        <v>40</v>
      </c>
      <c r="AH130" s="303">
        <f t="shared" ref="AH130" si="159">AI130-1</f>
        <v>41</v>
      </c>
      <c r="AI130" s="303">
        <f t="shared" ref="AI130" si="160">AJ130-1</f>
        <v>42</v>
      </c>
      <c r="AJ130" s="303">
        <f t="shared" ref="AJ130" si="161">AK130-1</f>
        <v>43</v>
      </c>
      <c r="AK130" s="303">
        <f t="shared" ref="AK130" si="162">AL130-1</f>
        <v>44</v>
      </c>
      <c r="AL130" s="303">
        <f t="shared" ref="AL130" si="163">AM130-1</f>
        <v>45</v>
      </c>
      <c r="AM130" s="303">
        <f t="shared" ref="AM130" si="164">AN130-1</f>
        <v>46</v>
      </c>
      <c r="AN130" s="303">
        <f t="shared" ref="AN130" si="165">AO130-1</f>
        <v>47</v>
      </c>
      <c r="AO130" s="303">
        <f t="shared" ref="AO130" si="166">AP130-1</f>
        <v>48</v>
      </c>
      <c r="AP130" s="303">
        <f t="shared" ref="AP130" si="167">AQ130-1</f>
        <v>49</v>
      </c>
      <c r="AQ130" s="303">
        <f t="shared" ref="AQ130" si="168">AR130-1</f>
        <v>50</v>
      </c>
      <c r="AR130" s="303">
        <f t="shared" ref="AR130" si="169">AS130-1</f>
        <v>51</v>
      </c>
      <c r="AS130" s="303">
        <f t="shared" ref="AS130" si="170">AT130-1</f>
        <v>52</v>
      </c>
      <c r="AT130" s="303">
        <f t="shared" ref="AT130" si="171">AU130-1</f>
        <v>53</v>
      </c>
      <c r="AU130" s="303">
        <f>VLOOKUP(AU131,Dates!$A:$D,2,FALSE)</f>
        <v>54</v>
      </c>
    </row>
    <row r="131" spans="1:47">
      <c r="A131" s="49"/>
      <c r="B131" s="49"/>
      <c r="C131" s="49"/>
      <c r="D131" s="49"/>
      <c r="E131" s="49"/>
      <c r="F131" s="49"/>
      <c r="G131" s="49"/>
      <c r="H131" s="49"/>
      <c r="I131" s="49"/>
      <c r="J131" s="49"/>
      <c r="K131" s="49"/>
      <c r="L131" s="49"/>
      <c r="M131" s="49"/>
      <c r="N131" s="49"/>
      <c r="O131" s="49"/>
      <c r="P131" s="49"/>
      <c r="Q131" s="49"/>
      <c r="R131" s="49"/>
      <c r="S131" s="49"/>
      <c r="T131" s="49"/>
      <c r="U131" s="49"/>
      <c r="V131" s="49"/>
      <c r="W131" s="49"/>
      <c r="AB131" s="303" t="str">
        <f>IFERROR(VLOOKUP(AB130,Dates!$B:$D,3,FALSE),"")</f>
        <v>3Q20</v>
      </c>
      <c r="AC131" s="303" t="str">
        <f>IFERROR(VLOOKUP(AC130,Dates!$B:$D,3,FALSE),"")</f>
        <v>4Q20</v>
      </c>
      <c r="AD131" s="303" t="str">
        <f>IFERROR(VLOOKUP(AD130,Dates!$B:$D,3,FALSE),"")</f>
        <v>1Q21</v>
      </c>
      <c r="AE131" s="303" t="str">
        <f>IFERROR(VLOOKUP(AE130,Dates!$B:$D,3,FALSE),"")</f>
        <v>2Q21</v>
      </c>
      <c r="AF131" s="303" t="str">
        <f>IFERROR(VLOOKUP(AF130,Dates!$B:$D,3,FALSE),"")</f>
        <v>3Q21</v>
      </c>
      <c r="AG131" s="303" t="str">
        <f>IFERROR(VLOOKUP(AG130,Dates!$B:$D,3,FALSE),"")</f>
        <v>4Q21</v>
      </c>
      <c r="AH131" s="303" t="str">
        <f>IFERROR(VLOOKUP(AH130,Dates!$B:$D,3,FALSE),"")</f>
        <v>1Q22</v>
      </c>
      <c r="AI131" s="303" t="str">
        <f>IFERROR(VLOOKUP(AI130,Dates!$B:$D,3,FALSE),"")</f>
        <v>2Q22</v>
      </c>
      <c r="AJ131" s="303" t="str">
        <f>IFERROR(VLOOKUP(AJ130,Dates!$B:$D,3,FALSE),"")</f>
        <v>3Q22</v>
      </c>
      <c r="AK131" s="303" t="str">
        <f>IFERROR(VLOOKUP(AK130,Dates!$B:$D,3,FALSE),"")</f>
        <v>4Q22</v>
      </c>
      <c r="AL131" s="303" t="str">
        <f>IFERROR(VLOOKUP(AL130,Dates!$B:$D,3,FALSE),"")</f>
        <v>1Q23</v>
      </c>
      <c r="AM131" s="303" t="str">
        <f>IFERROR(VLOOKUP(AM130,Dates!$B:$D,3,FALSE),"")</f>
        <v>2Q23</v>
      </c>
      <c r="AN131" s="303" t="str">
        <f>IFERROR(VLOOKUP(AN130,Dates!$B:$D,3,FALSE),"")</f>
        <v>3Q23</v>
      </c>
      <c r="AO131" s="303" t="str">
        <f>IFERROR(VLOOKUP(AO130,Dates!$B:$D,3,FALSE),"")</f>
        <v>4Q23</v>
      </c>
      <c r="AP131" s="303" t="str">
        <f>IFERROR(VLOOKUP(AP130,Dates!$B:$D,3,FALSE),"")</f>
        <v>1Q24</v>
      </c>
      <c r="AQ131" s="303" t="str">
        <f>IFERROR(VLOOKUP(AQ130,Dates!$B:$D,3,FALSE),"")</f>
        <v>2Q24</v>
      </c>
      <c r="AR131" s="303" t="str">
        <f>IFERROR(VLOOKUP(AR130,Dates!$B:$D,3,FALSE),"")</f>
        <v>3Q24</v>
      </c>
      <c r="AS131" s="303" t="str">
        <f>IFERROR(VLOOKUP(AS130,Dates!$B:$D,3,FALSE),"")</f>
        <v>4Q24</v>
      </c>
      <c r="AT131" s="303" t="str">
        <f>IFERROR(VLOOKUP(AT130,Dates!$B:$D,3,FALSE),"")</f>
        <v>1Q25</v>
      </c>
      <c r="AU131" s="315" t="str">
        <f>$G$3</f>
        <v>2Q25</v>
      </c>
    </row>
    <row r="132" spans="1:47">
      <c r="A132" s="49"/>
      <c r="B132" s="49"/>
      <c r="C132" s="49"/>
      <c r="D132" s="49"/>
      <c r="E132" s="49"/>
      <c r="F132" s="49"/>
      <c r="G132" s="49"/>
      <c r="H132" s="49"/>
      <c r="I132" s="49"/>
      <c r="J132" s="49"/>
      <c r="K132" s="49"/>
      <c r="L132" s="49"/>
      <c r="M132" s="49"/>
      <c r="N132" s="49"/>
      <c r="O132" s="49"/>
      <c r="P132" s="49"/>
      <c r="Q132" s="49"/>
      <c r="R132" s="49"/>
      <c r="S132" s="49"/>
      <c r="T132" s="49"/>
      <c r="U132" s="49"/>
      <c r="V132" s="49"/>
      <c r="W132" s="49"/>
      <c r="AA132" s="316" t="str">
        <f>'Domestic Mobile Operations'!A4</f>
        <v>Subscribers ('000)</v>
      </c>
      <c r="AB132" s="317">
        <f>IFERROR(INDEX('Domestic Mobile Operations'!$A:$ABB,MATCH($AA132,'Domestic Mobile Operations'!$A:$A,0),MATCH(AB131,'Domestic Mobile Operations'!$1:$1,0)),"")</f>
        <v>283036.25299999997</v>
      </c>
      <c r="AC132" s="317">
        <f>IFERROR(INDEX('Domestic Mobile Operations'!$A:$ABB,MATCH($AA132,'Domestic Mobile Operations'!$A:$A,0),MATCH(AC131,'Domestic Mobile Operations'!$1:$1,0)),"")</f>
        <v>283667.18400000001</v>
      </c>
      <c r="AD132" s="317">
        <f>IFERROR(INDEX('Domestic Mobile Operations'!$A:$ABB,MATCH($AA132,'Domestic Mobile Operations'!$A:$A,0),MATCH(AD131,'Domestic Mobile Operations'!$1:$1,0)),"")</f>
        <v>279869</v>
      </c>
      <c r="AE132" s="317">
        <f>IFERROR(INDEX('Domestic Mobile Operations'!$A:$ABB,MATCH($AA132,'Domestic Mobile Operations'!$A:$A,0),MATCH(AE131,'Domestic Mobile Operations'!$1:$1,0)),"")</f>
        <v>293742.21999999997</v>
      </c>
      <c r="AF132" s="317">
        <f>IFERROR(INDEX('Domestic Mobile Operations'!$A:$ABB,MATCH($AA132,'Domestic Mobile Operations'!$A:$A,0),MATCH(AF131,'Domestic Mobile Operations'!$1:$1,0)),"")</f>
        <v>307948</v>
      </c>
      <c r="AG132" s="317">
        <f>IFERROR(INDEX('Domestic Mobile Operations'!$A:$ABB,MATCH($AA132,'Domestic Mobile Operations'!$A:$A,0),MATCH(AG131,'Domestic Mobile Operations'!$1:$1,0)),"")</f>
        <v>321373.51</v>
      </c>
      <c r="AH132" s="317">
        <f>IFERROR(INDEX('Domestic Mobile Operations'!$A:$ABB,MATCH($AA132,'Domestic Mobile Operations'!$A:$A,0),MATCH(AH131,'Domestic Mobile Operations'!$1:$1,0)),"")</f>
        <v>321238.12300000002</v>
      </c>
      <c r="AI132" s="317">
        <f>IFERROR(INDEX('Domestic Mobile Operations'!$A:$ABB,MATCH($AA132,'Domestic Mobile Operations'!$A:$A,0),MATCH(AI131,'Domestic Mobile Operations'!$1:$1,0)),"")</f>
        <v>323476</v>
      </c>
      <c r="AJ132" s="317">
        <f>IFERROR(INDEX('Domestic Mobile Operations'!$A:$ABB,MATCH($AA132,'Domestic Mobile Operations'!$A:$A,0),MATCH(AJ131,'Domestic Mobile Operations'!$1:$1,0)),"")</f>
        <v>322917.59299999999</v>
      </c>
      <c r="AK132" s="317">
        <f>IFERROR(INDEX('Domestic Mobile Operations'!$A:$ABB,MATCH($AA132,'Domestic Mobile Operations'!$A:$A,0),MATCH(AK131,'Domestic Mobile Operations'!$1:$1,0)),"")</f>
        <v>326043</v>
      </c>
      <c r="AL132" s="317">
        <f>IFERROR(INDEX('Domestic Mobile Operations'!$A:$ABB,MATCH($AA132,'Domestic Mobile Operations'!$A:$A,0),MATCH(AL131,'Domestic Mobile Operations'!$1:$1,0)),"")</f>
        <v>327307.74</v>
      </c>
      <c r="AM132" s="317">
        <f>IFERROR(INDEX('Domestic Mobile Operations'!$A:$ABB,MATCH($AA132,'Domestic Mobile Operations'!$A:$A,0),MATCH(AM131,'Domestic Mobile Operations'!$1:$1,0)),"")</f>
        <v>327797.96000000002</v>
      </c>
      <c r="AN132" s="317">
        <f>IFERROR(INDEX('Domestic Mobile Operations'!$A:$ABB,MATCH($AA132,'Domestic Mobile Operations'!$A:$A,0),MATCH(AN131,'Domestic Mobile Operations'!$1:$1,0)),"")</f>
        <v>332243.62</v>
      </c>
      <c r="AO132" s="317">
        <f>IFERROR(INDEX('Domestic Mobile Operations'!$A:$ABB,MATCH($AA132,'Domestic Mobile Operations'!$A:$A,0),MATCH(AO131,'Domestic Mobile Operations'!$1:$1,0)),"")</f>
        <v>335412.28200000006</v>
      </c>
      <c r="AP132" s="317">
        <f>IFERROR(INDEX('Domestic Mobile Operations'!$A:$ABB,MATCH($AA132,'Domestic Mobile Operations'!$A:$A,0),MATCH(AP131,'Domestic Mobile Operations'!$1:$1,0)),"")</f>
        <v>338562.38500000001</v>
      </c>
      <c r="AQ132" s="317">
        <f>IFERROR(INDEX('Domestic Mobile Operations'!$A:$ABB,MATCH($AA132,'Domestic Mobile Operations'!$A:$A,0),MATCH(AQ131,'Domestic Mobile Operations'!$1:$1,0)),"")</f>
        <v>342305.36200000002</v>
      </c>
      <c r="AR132" s="317">
        <f>IFERROR(INDEX('Domestic Mobile Operations'!$A:$ABB,MATCH($AA132,'Domestic Mobile Operations'!$A:$A,0),MATCH(AR131,'Domestic Mobile Operations'!$1:$1,0)),"")</f>
        <v>345570.20600000006</v>
      </c>
      <c r="AS132" s="317">
        <f>IFERROR(INDEX('Domestic Mobile Operations'!$A:$ABB,MATCH($AA132,'Domestic Mobile Operations'!$A:$A,0),MATCH(AS131,'Domestic Mobile Operations'!$1:$1,0)),"")</f>
        <v>352252.81199999998</v>
      </c>
      <c r="AT132" s="317">
        <f>IFERROR(INDEX('Domestic Mobile Operations'!$A:$ABB,MATCH($AA132,'Domestic Mobile Operations'!$A:$A,0),MATCH(AT131,'Domestic Mobile Operations'!$1:$1,0)),"")</f>
        <v>354515.14</v>
      </c>
      <c r="AU132" s="317">
        <f>IFERROR(INDEX('Domestic Mobile Operations'!$A:$ABB,MATCH($AA132,'Domestic Mobile Operations'!$A:$A,0),MATCH(AU131,'Domestic Mobile Operations'!$1:$1,0)),"")</f>
        <v>351640.24400000006</v>
      </c>
    </row>
    <row r="133" spans="1:47">
      <c r="A133" s="49"/>
      <c r="B133" s="49"/>
      <c r="C133" s="49"/>
      <c r="D133" s="49"/>
      <c r="E133" s="49"/>
      <c r="F133" s="49"/>
      <c r="G133" s="49"/>
      <c r="H133" s="49"/>
      <c r="I133" s="49"/>
      <c r="J133" s="49"/>
      <c r="K133" s="49"/>
      <c r="L133" s="49"/>
      <c r="M133" s="49"/>
      <c r="N133" s="49"/>
      <c r="O133" s="49"/>
      <c r="P133" s="49"/>
      <c r="Q133" s="49"/>
      <c r="R133" s="49"/>
      <c r="S133" s="49"/>
      <c r="T133" s="49"/>
      <c r="U133" s="49"/>
      <c r="V133" s="49"/>
      <c r="W133" s="49"/>
    </row>
    <row r="134" spans="1:47">
      <c r="A134" s="49"/>
      <c r="B134" s="49"/>
      <c r="C134" s="49"/>
      <c r="D134" s="49"/>
      <c r="E134" s="49"/>
      <c r="F134" s="49"/>
      <c r="G134" s="49"/>
      <c r="H134" s="49"/>
      <c r="I134" s="49"/>
      <c r="J134" s="49"/>
      <c r="K134" s="49"/>
      <c r="L134" s="49"/>
      <c r="M134" s="49"/>
      <c r="N134" s="49"/>
      <c r="O134" s="49"/>
      <c r="P134" s="49"/>
      <c r="Q134" s="49"/>
      <c r="R134" s="49"/>
      <c r="S134" s="49"/>
      <c r="T134" s="49"/>
      <c r="U134" s="49"/>
      <c r="V134" s="49"/>
      <c r="W134" s="49"/>
    </row>
    <row r="135" spans="1:47">
      <c r="A135" s="49"/>
      <c r="B135" s="49"/>
      <c r="C135" s="49"/>
      <c r="D135" s="49"/>
      <c r="E135" s="49"/>
      <c r="F135" s="49"/>
      <c r="G135" s="49"/>
      <c r="H135" s="49"/>
      <c r="I135" s="49"/>
      <c r="J135" s="49"/>
      <c r="K135" s="49"/>
      <c r="L135" s="49"/>
      <c r="M135" s="49"/>
      <c r="N135" s="49"/>
      <c r="O135" s="49"/>
      <c r="P135" s="49"/>
      <c r="Q135" s="49"/>
      <c r="R135" s="49"/>
      <c r="S135" s="49"/>
      <c r="T135" s="49"/>
      <c r="U135" s="49"/>
      <c r="V135" s="49"/>
      <c r="W135" s="49"/>
    </row>
    <row r="136" spans="1:47">
      <c r="A136" s="49"/>
      <c r="B136" s="49"/>
      <c r="C136" s="49"/>
      <c r="D136" s="49"/>
      <c r="E136" s="49"/>
      <c r="F136" s="49"/>
      <c r="G136" s="49"/>
      <c r="H136" s="49"/>
      <c r="I136" s="49"/>
      <c r="J136" s="49"/>
      <c r="K136" s="49"/>
      <c r="L136" s="49"/>
      <c r="M136" s="49"/>
      <c r="N136" s="49"/>
      <c r="O136" s="49"/>
      <c r="P136" s="49"/>
      <c r="Q136" s="49"/>
      <c r="R136" s="49"/>
      <c r="S136" s="49"/>
      <c r="T136" s="49"/>
      <c r="U136" s="49"/>
      <c r="V136" s="49"/>
      <c r="W136" s="49"/>
    </row>
    <row r="137" spans="1:47">
      <c r="A137" s="49"/>
      <c r="B137" s="49"/>
      <c r="C137" s="49"/>
      <c r="D137" s="49"/>
      <c r="E137" s="49"/>
      <c r="F137" s="49"/>
      <c r="G137" s="49"/>
      <c r="H137" s="49"/>
      <c r="I137" s="49"/>
      <c r="J137" s="49"/>
      <c r="K137" s="49"/>
      <c r="L137" s="49"/>
      <c r="M137" s="49"/>
      <c r="N137" s="49"/>
      <c r="O137" s="49"/>
      <c r="P137" s="49"/>
      <c r="Q137" s="49"/>
      <c r="R137" s="49"/>
      <c r="S137" s="49"/>
      <c r="T137" s="49"/>
      <c r="U137" s="49"/>
      <c r="V137" s="49"/>
      <c r="W137" s="49"/>
    </row>
    <row r="138" spans="1:47">
      <c r="A138" s="49"/>
      <c r="B138" s="49"/>
      <c r="C138" s="49"/>
      <c r="D138" s="49"/>
      <c r="E138" s="49"/>
      <c r="F138" s="49"/>
      <c r="G138" s="49"/>
      <c r="H138" s="49"/>
      <c r="I138" s="49"/>
      <c r="J138" s="49"/>
      <c r="K138" s="49"/>
      <c r="L138" s="49"/>
      <c r="M138" s="49"/>
      <c r="N138" s="49"/>
      <c r="O138" s="49"/>
      <c r="P138" s="49"/>
      <c r="Q138" s="49"/>
      <c r="R138" s="49"/>
      <c r="S138" s="49"/>
      <c r="T138" s="49"/>
      <c r="U138" s="49"/>
      <c r="V138" s="49"/>
      <c r="W138" s="49"/>
    </row>
    <row r="139" spans="1:47">
      <c r="A139" s="49"/>
      <c r="B139" s="49"/>
      <c r="C139" s="49"/>
      <c r="D139" s="49"/>
      <c r="E139" s="49"/>
      <c r="F139" s="49"/>
      <c r="G139" s="49"/>
      <c r="H139" s="49"/>
      <c r="I139" s="49"/>
      <c r="J139" s="49"/>
      <c r="K139" s="49"/>
      <c r="L139" s="49"/>
      <c r="M139" s="49"/>
      <c r="N139" s="49"/>
      <c r="O139" s="49"/>
      <c r="P139" s="49"/>
      <c r="Q139" s="49"/>
      <c r="R139" s="49"/>
      <c r="S139" s="49"/>
      <c r="T139" s="49"/>
      <c r="U139" s="49"/>
      <c r="V139" s="49"/>
      <c r="W139" s="49"/>
    </row>
    <row r="140" spans="1:47">
      <c r="A140" s="1" t="s">
        <v>447</v>
      </c>
      <c r="B140" s="1" t="s">
        <v>525</v>
      </c>
      <c r="C140" s="1"/>
      <c r="D140" s="1"/>
      <c r="E140" s="1"/>
      <c r="F140" s="1"/>
      <c r="G140" s="1"/>
      <c r="H140" s="1"/>
      <c r="I140" s="1"/>
      <c r="J140" s="1"/>
      <c r="K140" s="1" t="s">
        <v>448</v>
      </c>
      <c r="L140" s="1" t="s">
        <v>599</v>
      </c>
      <c r="M140" s="1"/>
      <c r="N140" s="1"/>
      <c r="O140" s="1"/>
      <c r="P140" s="1"/>
      <c r="Q140" s="1"/>
      <c r="R140" s="1"/>
      <c r="S140" s="1"/>
      <c r="T140" s="1"/>
      <c r="U140" s="49"/>
      <c r="V140" s="49"/>
      <c r="W140" s="49"/>
    </row>
    <row r="141" spans="1:47">
      <c r="A141" s="49"/>
      <c r="B141" s="49"/>
      <c r="C141" s="49"/>
      <c r="D141" s="49"/>
      <c r="E141" s="49"/>
      <c r="F141" s="49"/>
      <c r="G141" s="49"/>
      <c r="H141" s="49"/>
      <c r="I141" s="49"/>
      <c r="J141" s="49"/>
      <c r="K141" s="49"/>
      <c r="L141" s="49"/>
      <c r="M141" s="49"/>
      <c r="N141" s="49"/>
      <c r="O141" s="49"/>
      <c r="P141" s="49"/>
      <c r="Q141" s="49"/>
      <c r="R141" s="49"/>
      <c r="S141" s="49"/>
      <c r="T141" s="49"/>
      <c r="U141" s="49"/>
      <c r="V141" s="49"/>
      <c r="W141" s="49"/>
    </row>
    <row r="142" spans="1:47">
      <c r="A142" s="49"/>
      <c r="B142" s="49"/>
      <c r="C142" s="49"/>
      <c r="D142" s="49"/>
      <c r="E142" s="49"/>
      <c r="F142" s="49"/>
      <c r="G142" s="49"/>
      <c r="H142" s="49"/>
      <c r="I142" s="49"/>
      <c r="J142" s="49"/>
      <c r="K142" s="49"/>
      <c r="L142" s="49"/>
      <c r="M142" s="49"/>
      <c r="N142" s="49"/>
      <c r="O142" s="49"/>
      <c r="P142" s="49"/>
      <c r="Q142" s="49"/>
      <c r="R142" s="49"/>
      <c r="S142" s="49"/>
      <c r="T142" s="49"/>
      <c r="U142" s="49"/>
      <c r="V142" s="49"/>
      <c r="W142" s="49"/>
    </row>
    <row r="143" spans="1:47">
      <c r="A143" s="49"/>
      <c r="B143" s="49"/>
      <c r="C143" s="49"/>
      <c r="D143" s="49"/>
      <c r="E143" s="49"/>
      <c r="F143" s="49"/>
      <c r="G143" s="49"/>
      <c r="H143" s="49"/>
      <c r="I143" s="49"/>
      <c r="J143" s="49"/>
      <c r="K143" s="49"/>
      <c r="L143" s="49"/>
      <c r="M143" s="49"/>
      <c r="N143" s="49"/>
      <c r="O143" s="49"/>
      <c r="P143" s="49"/>
      <c r="Q143" s="49"/>
      <c r="R143" s="49"/>
      <c r="S143" s="49"/>
      <c r="T143" s="49"/>
      <c r="U143" s="49"/>
      <c r="V143" s="49"/>
      <c r="W143" s="49"/>
    </row>
    <row r="144" spans="1:47">
      <c r="A144" s="49"/>
      <c r="B144" s="49"/>
      <c r="C144" s="49"/>
      <c r="D144" s="49"/>
      <c r="E144" s="49"/>
      <c r="F144" s="49"/>
      <c r="G144" s="49"/>
      <c r="H144" s="49"/>
      <c r="I144" s="49"/>
      <c r="J144" s="49"/>
      <c r="K144" s="49"/>
      <c r="L144" s="49"/>
      <c r="M144" s="49"/>
      <c r="N144" s="49"/>
      <c r="O144" s="49"/>
      <c r="P144" s="49"/>
      <c r="Q144" s="49"/>
      <c r="R144" s="49"/>
      <c r="S144" s="49"/>
      <c r="T144" s="49"/>
      <c r="U144" s="49"/>
      <c r="V144" s="49"/>
      <c r="W144" s="49"/>
      <c r="AB144" s="303">
        <f t="shared" ref="AB144" si="172">AC144-1</f>
        <v>35</v>
      </c>
      <c r="AC144" s="303">
        <f t="shared" ref="AC144" si="173">AD144-1</f>
        <v>36</v>
      </c>
      <c r="AD144" s="303">
        <f t="shared" ref="AD144" si="174">AE144-1</f>
        <v>37</v>
      </c>
      <c r="AE144" s="303">
        <f t="shared" ref="AE144" si="175">AF144-1</f>
        <v>38</v>
      </c>
      <c r="AF144" s="303">
        <f t="shared" ref="AF144" si="176">AG144-1</f>
        <v>39</v>
      </c>
      <c r="AG144" s="303">
        <f t="shared" ref="AG144" si="177">AH144-1</f>
        <v>40</v>
      </c>
      <c r="AH144" s="303">
        <f t="shared" ref="AH144" si="178">AI144-1</f>
        <v>41</v>
      </c>
      <c r="AI144" s="303">
        <f t="shared" ref="AI144" si="179">AJ144-1</f>
        <v>42</v>
      </c>
      <c r="AJ144" s="303">
        <f t="shared" ref="AJ144" si="180">AK144-1</f>
        <v>43</v>
      </c>
      <c r="AK144" s="303">
        <f t="shared" ref="AK144" si="181">AL144-1</f>
        <v>44</v>
      </c>
      <c r="AL144" s="303">
        <f t="shared" ref="AL144" si="182">AM144-1</f>
        <v>45</v>
      </c>
      <c r="AM144" s="303">
        <f t="shared" ref="AM144" si="183">AN144-1</f>
        <v>46</v>
      </c>
      <c r="AN144" s="303">
        <f t="shared" ref="AN144" si="184">AO144-1</f>
        <v>47</v>
      </c>
      <c r="AO144" s="303">
        <f t="shared" ref="AO144" si="185">AP144-1</f>
        <v>48</v>
      </c>
      <c r="AP144" s="303">
        <f t="shared" ref="AP144" si="186">AQ144-1</f>
        <v>49</v>
      </c>
      <c r="AQ144" s="303">
        <f t="shared" ref="AQ144" si="187">AR144-1</f>
        <v>50</v>
      </c>
      <c r="AR144" s="303">
        <f t="shared" ref="AR144" si="188">AS144-1</f>
        <v>51</v>
      </c>
      <c r="AS144" s="303">
        <f t="shared" ref="AS144" si="189">AT144-1</f>
        <v>52</v>
      </c>
      <c r="AT144" s="303">
        <f t="shared" ref="AT144" si="190">AU144-1</f>
        <v>53</v>
      </c>
      <c r="AU144" s="303">
        <f>VLOOKUP(AU145,Dates!$A:$D,2,FALSE)</f>
        <v>54</v>
      </c>
    </row>
    <row r="145" spans="1:47">
      <c r="A145" s="49"/>
      <c r="B145" s="49"/>
      <c r="C145" s="49"/>
      <c r="D145" s="49"/>
      <c r="E145" s="49"/>
      <c r="F145" s="49"/>
      <c r="G145" s="49"/>
      <c r="H145" s="49"/>
      <c r="I145" s="49"/>
      <c r="J145" s="49"/>
      <c r="K145" s="49"/>
      <c r="L145" s="49"/>
      <c r="M145" s="49"/>
      <c r="N145" s="49"/>
      <c r="O145" s="49"/>
      <c r="P145" s="49"/>
      <c r="Q145" s="49"/>
      <c r="R145" s="49"/>
      <c r="S145" s="49"/>
      <c r="T145" s="49"/>
      <c r="U145" s="49"/>
      <c r="V145" s="49"/>
      <c r="W145" s="49"/>
      <c r="AB145" s="303" t="str">
        <f>IFERROR(VLOOKUP(AB144,Dates!$B:$D,3,FALSE),"")</f>
        <v>3Q20</v>
      </c>
      <c r="AC145" s="303" t="str">
        <f>IFERROR(VLOOKUP(AC144,Dates!$B:$D,3,FALSE),"")</f>
        <v>4Q20</v>
      </c>
      <c r="AD145" s="303" t="str">
        <f>IFERROR(VLOOKUP(AD144,Dates!$B:$D,3,FALSE),"")</f>
        <v>1Q21</v>
      </c>
      <c r="AE145" s="303" t="str">
        <f>IFERROR(VLOOKUP(AE144,Dates!$B:$D,3,FALSE),"")</f>
        <v>2Q21</v>
      </c>
      <c r="AF145" s="303" t="str">
        <f>IFERROR(VLOOKUP(AF144,Dates!$B:$D,3,FALSE),"")</f>
        <v>3Q21</v>
      </c>
      <c r="AG145" s="303" t="str">
        <f>IFERROR(VLOOKUP(AG144,Dates!$B:$D,3,FALSE),"")</f>
        <v>4Q21</v>
      </c>
      <c r="AH145" s="303" t="str">
        <f>IFERROR(VLOOKUP(AH144,Dates!$B:$D,3,FALSE),"")</f>
        <v>1Q22</v>
      </c>
      <c r="AI145" s="303" t="str">
        <f>IFERROR(VLOOKUP(AI144,Dates!$B:$D,3,FALSE),"")</f>
        <v>2Q22</v>
      </c>
      <c r="AJ145" s="303" t="str">
        <f>IFERROR(VLOOKUP(AJ144,Dates!$B:$D,3,FALSE),"")</f>
        <v>3Q22</v>
      </c>
      <c r="AK145" s="303" t="str">
        <f>IFERROR(VLOOKUP(AK144,Dates!$B:$D,3,FALSE),"")</f>
        <v>4Q22</v>
      </c>
      <c r="AL145" s="303" t="str">
        <f>IFERROR(VLOOKUP(AL144,Dates!$B:$D,3,FALSE),"")</f>
        <v>1Q23</v>
      </c>
      <c r="AM145" s="303" t="str">
        <f>IFERROR(VLOOKUP(AM144,Dates!$B:$D,3,FALSE),"")</f>
        <v>2Q23</v>
      </c>
      <c r="AN145" s="303" t="str">
        <f>IFERROR(VLOOKUP(AN144,Dates!$B:$D,3,FALSE),"")</f>
        <v>3Q23</v>
      </c>
      <c r="AO145" s="303" t="str">
        <f>IFERROR(VLOOKUP(AO144,Dates!$B:$D,3,FALSE),"")</f>
        <v>4Q23</v>
      </c>
      <c r="AP145" s="303" t="str">
        <f>IFERROR(VLOOKUP(AP144,Dates!$B:$D,3,FALSE),"")</f>
        <v>1Q24</v>
      </c>
      <c r="AQ145" s="303" t="str">
        <f>IFERROR(VLOOKUP(AQ144,Dates!$B:$D,3,FALSE),"")</f>
        <v>2Q24</v>
      </c>
      <c r="AR145" s="303" t="str">
        <f>IFERROR(VLOOKUP(AR144,Dates!$B:$D,3,FALSE),"")</f>
        <v>3Q24</v>
      </c>
      <c r="AS145" s="303" t="str">
        <f>IFERROR(VLOOKUP(AS144,Dates!$B:$D,3,FALSE),"")</f>
        <v>4Q24</v>
      </c>
      <c r="AT145" s="303" t="str">
        <f>IFERROR(VLOOKUP(AT144,Dates!$B:$D,3,FALSE),"")</f>
        <v>1Q25</v>
      </c>
      <c r="AU145" s="315" t="str">
        <f>$G$3</f>
        <v>2Q25</v>
      </c>
    </row>
    <row r="146" spans="1:47">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AA146" s="316" t="str">
        <f>'Domestic Mobile Operations'!A82</f>
        <v>Implied 2G subs</v>
      </c>
      <c r="AB146" s="317">
        <f>IFERROR(INDEX('Domestic Mobile Operations'!$A:$ABB,MATCH($AA146,'Domestic Mobile Operations'!$A:$A,0),MATCH(AB145,'Domestic Mobile Operations'!$1:$1,0)),"")</f>
        <v>14649.999000000011</v>
      </c>
      <c r="AC146" s="317">
        <f>IFERROR(INDEX('Domestic Mobile Operations'!$A:$ABB,MATCH($AA146,'Domestic Mobile Operations'!$A:$A,0),MATCH(AC145,'Domestic Mobile Operations'!$1:$1,0)),"")</f>
        <v>12268.960000000021</v>
      </c>
      <c r="AD146" s="317">
        <f>IFERROR(INDEX('Domestic Mobile Operations'!$A:$ABB,MATCH($AA146,'Domestic Mobile Operations'!$A:$A,0),MATCH(AD145,'Domestic Mobile Operations'!$1:$1,0)),"")</f>
        <v>10795.404999999999</v>
      </c>
      <c r="AE146" s="317">
        <f>IFERROR(INDEX('Domestic Mobile Operations'!$A:$ABB,MATCH($AA146,'Domestic Mobile Operations'!$A:$A,0),MATCH(AE145,'Domestic Mobile Operations'!$1:$1,0)),"")</f>
        <v>9500.7449999999953</v>
      </c>
      <c r="AF146" s="317">
        <f>IFERROR(INDEX('Domestic Mobile Operations'!$A:$ABB,MATCH($AA146,'Domestic Mobile Operations'!$A:$A,0),MATCH(AF145,'Domestic Mobile Operations'!$1:$1,0)),"")</f>
        <v>9113.4240000000573</v>
      </c>
      <c r="AG146" s="317">
        <f>IFERROR(INDEX('Domestic Mobile Operations'!$A:$ABB,MATCH($AA146,'Domestic Mobile Operations'!$A:$A,0),MATCH(AG145,'Domestic Mobile Operations'!$1:$1,0)),"")</f>
        <v>9342.4630000000179</v>
      </c>
      <c r="AH146" s="317">
        <f>IFERROR(INDEX('Domestic Mobile Operations'!$A:$ABB,MATCH($AA146,'Domestic Mobile Operations'!$A:$A,0),MATCH(AH145,'Domestic Mobile Operations'!$1:$1,0)),"")</f>
        <v>8508.1070000000182</v>
      </c>
      <c r="AI146" s="317">
        <f>IFERROR(INDEX('Domestic Mobile Operations'!$A:$ABB,MATCH($AA146,'Domestic Mobile Operations'!$A:$A,0),MATCH(AI145,'Domestic Mobile Operations'!$1:$1,0)),"")</f>
        <v>7488.5409999999683</v>
      </c>
      <c r="AJ146" s="317">
        <f>IFERROR(INDEX('Domestic Mobile Operations'!$A:$ABB,MATCH($AA146,'Domestic Mobile Operations'!$A:$A,0),MATCH(AJ145,'Domestic Mobile Operations'!$1:$1,0)),"")</f>
        <v>7409.6389999999956</v>
      </c>
      <c r="AK146" s="317">
        <f>IFERROR(INDEX('Domestic Mobile Operations'!$A:$ABB,MATCH($AA146,'Domestic Mobile Operations'!$A:$A,0),MATCH(AK145,'Domestic Mobile Operations'!$1:$1,0)),"")</f>
        <v>7662.4280000000144</v>
      </c>
      <c r="AL146" s="317">
        <f>IFERROR(INDEX('Domestic Mobile Operations'!$A:$ABB,MATCH($AA146,'Domestic Mobile Operations'!$A:$A,0),MATCH(AL145,'Domestic Mobile Operations'!$1:$1,0)),"")</f>
        <v>7994.4059999999881</v>
      </c>
      <c r="AM146" s="317">
        <f>IFERROR(INDEX('Domestic Mobile Operations'!$A:$ABB,MATCH($AA146,'Domestic Mobile Operations'!$A:$A,0),MATCH(AM145,'Domestic Mobile Operations'!$1:$1,0)),"")</f>
        <v>8799.4059999999881</v>
      </c>
      <c r="AN146" s="317">
        <f>IFERROR(INDEX('Domestic Mobile Operations'!$A:$ABB,MATCH($AA146,'Domestic Mobile Operations'!$A:$A,0),MATCH(AN145,'Domestic Mobile Operations'!$1:$1,0)),"")</f>
        <v>8571.5279999999329</v>
      </c>
      <c r="AO146" s="317">
        <f>IFERROR(INDEX('Domestic Mobile Operations'!$A:$ABB,MATCH($AA146,'Domestic Mobile Operations'!$A:$A,0),MATCH(AO145,'Domestic Mobile Operations'!$1:$1,0)),"")</f>
        <v>8553.7049999999872</v>
      </c>
      <c r="AP146" s="317">
        <f>IFERROR(INDEX('Domestic Mobile Operations'!$A:$ABB,MATCH($AA146,'Domestic Mobile Operations'!$A:$A,0),MATCH(AP145,'Domestic Mobile Operations'!$1:$1,0)),"")</f>
        <v>8478.1759999999485</v>
      </c>
      <c r="AQ146" s="317">
        <f>IFERROR(INDEX('Domestic Mobile Operations'!$A:$ABB,MATCH($AA146,'Domestic Mobile Operations'!$A:$A,0),MATCH(AQ145,'Domestic Mobile Operations'!$1:$1,0)),"")</f>
        <v>8420.5229999999283</v>
      </c>
      <c r="AR146" s="317">
        <f>IFERROR(INDEX('Domestic Mobile Operations'!$A:$ABB,MATCH($AA146,'Domestic Mobile Operations'!$A:$A,0),MATCH(AR145,'Domestic Mobile Operations'!$1:$1,0)),"")</f>
        <v>8249.3190000000177</v>
      </c>
      <c r="AS146" s="317">
        <f>IFERROR(INDEX('Domestic Mobile Operations'!$A:$ABB,MATCH($AA146,'Domestic Mobile Operations'!$A:$A,0),MATCH(AS145,'Domestic Mobile Operations'!$1:$1,0)),"")</f>
        <v>8098.256999999925</v>
      </c>
      <c r="AT146" s="317">
        <f>IFERROR(INDEX('Domestic Mobile Operations'!$A:$ABB,MATCH($AA146,'Domestic Mobile Operations'!$A:$A,0),MATCH(AT145,'Domestic Mobile Operations'!$1:$1,0)),"")</f>
        <v>7700.0979999999399</v>
      </c>
      <c r="AU146" s="317">
        <f>IFERROR(INDEX('Domestic Mobile Operations'!$A:$ABB,MATCH($AA146,'Domestic Mobile Operations'!$A:$A,0),MATCH(AU145,'Domestic Mobile Operations'!$1:$1,0)),"")</f>
        <v>7527.1869999999763</v>
      </c>
    </row>
    <row r="147" spans="1:47">
      <c r="A147" s="49"/>
      <c r="B147" s="49"/>
      <c r="C147" s="49"/>
      <c r="D147" s="49"/>
      <c r="E147" s="49"/>
      <c r="F147" s="49"/>
      <c r="G147" s="49"/>
      <c r="H147" s="49"/>
      <c r="I147" s="49"/>
      <c r="J147" s="49"/>
      <c r="K147" s="49"/>
      <c r="L147" s="49"/>
      <c r="M147" s="49"/>
      <c r="N147" s="49"/>
      <c r="O147" s="49"/>
      <c r="P147" s="49"/>
      <c r="Q147" s="49"/>
      <c r="R147" s="49"/>
      <c r="S147" s="49"/>
      <c r="T147" s="49"/>
      <c r="U147" s="49"/>
      <c r="V147" s="49"/>
      <c r="W147" s="49"/>
      <c r="AA147" s="316" t="str">
        <f>'Domestic Mobile Operations'!A37</f>
        <v>Of which are 4G customers</v>
      </c>
      <c r="AB147" s="317">
        <f>IFERROR(INDEX('Domestic Mobile Operations'!$A:$ABB,MATCH($AA147,'Domestic Mobile Operations'!$A:$A,0),MATCH(AB145,'Domestic Mobile Operations'!$1:$1,0)),"")</f>
        <v>123793.11199999999</v>
      </c>
      <c r="AC147" s="317">
        <f>IFERROR(INDEX('Domestic Mobile Operations'!$A:$ABB,MATCH($AA147,'Domestic Mobile Operations'!$A:$A,0),MATCH(AC145,'Domestic Mobile Operations'!$1:$1,0)),"")</f>
        <v>136309.40399999998</v>
      </c>
      <c r="AD147" s="317">
        <f>IFERROR(INDEX('Domestic Mobile Operations'!$A:$ABB,MATCH($AA147,'Domestic Mobile Operations'!$A:$A,0),MATCH(AD145,'Domestic Mobile Operations'!$1:$1,0)),"")</f>
        <v>138293.84999999998</v>
      </c>
      <c r="AE147" s="317">
        <f>IFERROR(INDEX('Domestic Mobile Operations'!$A:$ABB,MATCH($AA147,'Domestic Mobile Operations'!$A:$A,0),MATCH(AE145,'Domestic Mobile Operations'!$1:$1,0)),"")</f>
        <v>152684.641</v>
      </c>
      <c r="AF147" s="317">
        <f>IFERROR(INDEX('Domestic Mobile Operations'!$A:$ABB,MATCH($AA147,'Domestic Mobile Operations'!$A:$A,0),MATCH(AF145,'Domestic Mobile Operations'!$1:$1,0)),"")</f>
        <v>165628.57499999998</v>
      </c>
      <c r="AG147" s="317">
        <f>IFERROR(INDEX('Domestic Mobile Operations'!$A:$ABB,MATCH($AA147,'Domestic Mobile Operations'!$A:$A,0),MATCH(AG145,'Domestic Mobile Operations'!$1:$1,0)),"")</f>
        <v>179292.94400000002</v>
      </c>
      <c r="AH147" s="317">
        <f>IFERROR(INDEX('Domestic Mobile Operations'!$A:$ABB,MATCH($AA147,'Domestic Mobile Operations'!$A:$A,0),MATCH(AH145,'Domestic Mobile Operations'!$1:$1,0)),"")</f>
        <v>184426.82500000001</v>
      </c>
      <c r="AI147" s="317">
        <f>IFERROR(INDEX('Domestic Mobile Operations'!$A:$ABB,MATCH($AA147,'Domestic Mobile Operations'!$A:$A,0),MATCH(AI145,'Domestic Mobile Operations'!$1:$1,0)),"")</f>
        <v>192538.56400000001</v>
      </c>
      <c r="AJ147" s="317">
        <f>IFERROR(INDEX('Domestic Mobile Operations'!$A:$ABB,MATCH($AA147,'Domestic Mobile Operations'!$A:$A,0),MATCH(AJ145,'Domestic Mobile Operations'!$1:$1,0)),"")</f>
        <v>195541</v>
      </c>
      <c r="AK147" s="317">
        <f>IFERROR(INDEX('Domestic Mobile Operations'!$A:$ABB,MATCH($AA147,'Domestic Mobile Operations'!$A:$A,0),MATCH(AK145,'Domestic Mobile Operations'!$1:$1,0)),"")</f>
        <v>200786</v>
      </c>
      <c r="AL147" s="317">
        <f>IFERROR(INDEX('Domestic Mobile Operations'!$A:$ABB,MATCH($AA147,'Domestic Mobile Operations'!$A:$A,0),MATCH(AL145,'Domestic Mobile Operations'!$1:$1,0)),"")</f>
        <v>205263.33100000001</v>
      </c>
      <c r="AM147" s="317">
        <f>IFERROR(INDEX('Domestic Mobile Operations'!$A:$ABB,MATCH($AA147,'Domestic Mobile Operations'!$A:$A,0),MATCH(AM145,'Domestic Mobile Operations'!$1:$1,0)),"")</f>
        <v>210300.31199999998</v>
      </c>
      <c r="AN147" s="317">
        <f>IFERROR(INDEX('Domestic Mobile Operations'!$A:$ABB,MATCH($AA147,'Domestic Mobile Operations'!$A:$A,0),MATCH(AN145,'Domestic Mobile Operations'!$1:$1,0)),"")</f>
        <v>216720.69300000003</v>
      </c>
      <c r="AO147" s="317">
        <f>IFERROR(INDEX('Domestic Mobile Operations'!$A:$ABB,MATCH($AA147,'Domestic Mobile Operations'!$A:$A,0),MATCH(AO145,'Domestic Mobile Operations'!$1:$1,0)),"")</f>
        <v>224124.41700000002</v>
      </c>
      <c r="AP147" s="317">
        <f>IFERROR(INDEX('Domestic Mobile Operations'!$A:$ABB,MATCH($AA147,'Domestic Mobile Operations'!$A:$A,0),MATCH(AP145,'Domestic Mobile Operations'!$1:$1,0)),"")</f>
        <v>229747.82800000004</v>
      </c>
      <c r="AQ147" s="317">
        <f>IFERROR(INDEX('Domestic Mobile Operations'!$A:$ABB,MATCH($AA147,'Domestic Mobile Operations'!$A:$A,0),MATCH(AQ145,'Domestic Mobile Operations'!$1:$1,0)),"")</f>
        <v>237466.73900000006</v>
      </c>
      <c r="AR147" s="317">
        <f>IFERROR(INDEX('Domestic Mobile Operations'!$A:$ABB,MATCH($AA147,'Domestic Mobile Operations'!$A:$A,0),MATCH(AR145,'Domestic Mobile Operations'!$1:$1,0)),"")</f>
        <v>244909.59700000001</v>
      </c>
      <c r="AS147" s="317">
        <f>IFERROR(INDEX('Domestic Mobile Operations'!$A:$ABB,MATCH($AA147,'Domestic Mobile Operations'!$A:$A,0),MATCH(AS145,'Domestic Mobile Operations'!$1:$1,0)),"")</f>
        <v>252748.508</v>
      </c>
      <c r="AT147" s="317">
        <f>IFERROR(INDEX('Domestic Mobile Operations'!$A:$ABB,MATCH($AA147,'Domestic Mobile Operations'!$A:$A,0),MATCH(AT145,'Domestic Mobile Operations'!$1:$1,0)),"")</f>
        <v>259428.94</v>
      </c>
      <c r="AU147" s="317">
        <f>IFERROR(INDEX('Domestic Mobile Operations'!$A:$ABB,MATCH($AA147,'Domestic Mobile Operations'!$A:$A,0),MATCH(AU145,'Domestic Mobile Operations'!$1:$1,0)),"")</f>
        <v>263635.77</v>
      </c>
    </row>
    <row r="148" spans="1:47">
      <c r="A148" s="49"/>
      <c r="B148" s="49"/>
      <c r="C148" s="49"/>
      <c r="D148" s="49"/>
      <c r="E148" s="49"/>
      <c r="F148" s="49"/>
      <c r="G148" s="49"/>
      <c r="H148" s="49"/>
      <c r="I148" s="49"/>
      <c r="J148" s="49"/>
      <c r="K148" s="49"/>
      <c r="L148" s="49"/>
      <c r="M148" s="49"/>
      <c r="N148" s="49"/>
      <c r="O148" s="49"/>
      <c r="P148" s="49"/>
      <c r="Q148" s="49"/>
      <c r="R148" s="49"/>
      <c r="S148" s="49"/>
      <c r="T148" s="49"/>
      <c r="U148" s="49"/>
      <c r="V148" s="49"/>
      <c r="W148" s="49"/>
    </row>
    <row r="149" spans="1:47">
      <c r="A149" s="49"/>
      <c r="B149" s="49"/>
      <c r="C149" s="49"/>
      <c r="D149" s="49"/>
      <c r="E149" s="49"/>
      <c r="F149" s="49"/>
      <c r="G149" s="49"/>
      <c r="H149" s="49"/>
      <c r="I149" s="49"/>
      <c r="J149" s="49"/>
      <c r="K149" s="49"/>
      <c r="L149" s="49"/>
      <c r="M149" s="49"/>
      <c r="N149" s="49"/>
      <c r="O149" s="49"/>
      <c r="P149" s="49"/>
      <c r="Q149" s="49"/>
      <c r="R149" s="49"/>
      <c r="S149" s="49"/>
      <c r="T149" s="49"/>
      <c r="U149" s="49"/>
      <c r="V149" s="49"/>
      <c r="W149" s="49"/>
    </row>
    <row r="150" spans="1:47">
      <c r="A150" s="49"/>
      <c r="B150" s="49"/>
      <c r="C150" s="49"/>
      <c r="D150" s="49"/>
      <c r="E150" s="49"/>
      <c r="F150" s="49"/>
      <c r="G150" s="49"/>
      <c r="H150" s="49"/>
      <c r="I150" s="49"/>
      <c r="J150" s="49"/>
      <c r="K150" s="49"/>
      <c r="L150" s="49"/>
      <c r="M150" s="49"/>
      <c r="N150" s="49"/>
      <c r="O150" s="49"/>
      <c r="P150" s="49"/>
      <c r="Q150" s="49"/>
      <c r="R150" s="49"/>
      <c r="S150" s="49"/>
      <c r="T150" s="49"/>
      <c r="U150" s="49"/>
      <c r="V150" s="49"/>
      <c r="W150" s="49"/>
      <c r="AB150" s="303">
        <f t="shared" ref="AB150" si="191">AC150-1</f>
        <v>35</v>
      </c>
      <c r="AC150" s="303">
        <f t="shared" ref="AC150" si="192">AD150-1</f>
        <v>36</v>
      </c>
      <c r="AD150" s="303">
        <f t="shared" ref="AD150" si="193">AE150-1</f>
        <v>37</v>
      </c>
      <c r="AE150" s="303">
        <f t="shared" ref="AE150" si="194">AF150-1</f>
        <v>38</v>
      </c>
      <c r="AF150" s="303">
        <f t="shared" ref="AF150" si="195">AG150-1</f>
        <v>39</v>
      </c>
      <c r="AG150" s="303">
        <f t="shared" ref="AG150" si="196">AH150-1</f>
        <v>40</v>
      </c>
      <c r="AH150" s="303">
        <f t="shared" ref="AH150" si="197">AI150-1</f>
        <v>41</v>
      </c>
      <c r="AI150" s="303">
        <f t="shared" ref="AI150" si="198">AJ150-1</f>
        <v>42</v>
      </c>
      <c r="AJ150" s="303">
        <f t="shared" ref="AJ150" si="199">AK150-1</f>
        <v>43</v>
      </c>
      <c r="AK150" s="303">
        <f t="shared" ref="AK150" si="200">AL150-1</f>
        <v>44</v>
      </c>
      <c r="AL150" s="303">
        <f t="shared" ref="AL150" si="201">AM150-1</f>
        <v>45</v>
      </c>
      <c r="AM150" s="303">
        <f t="shared" ref="AM150" si="202">AN150-1</f>
        <v>46</v>
      </c>
      <c r="AN150" s="303">
        <f t="shared" ref="AN150" si="203">AO150-1</f>
        <v>47</v>
      </c>
      <c r="AO150" s="303">
        <f t="shared" ref="AO150" si="204">AP150-1</f>
        <v>48</v>
      </c>
      <c r="AP150" s="303">
        <f t="shared" ref="AP150" si="205">AQ150-1</f>
        <v>49</v>
      </c>
      <c r="AQ150" s="303">
        <f t="shared" ref="AQ150" si="206">AR150-1</f>
        <v>50</v>
      </c>
      <c r="AR150" s="303">
        <f t="shared" ref="AR150" si="207">AS150-1</f>
        <v>51</v>
      </c>
      <c r="AS150" s="303">
        <f t="shared" ref="AS150" si="208">AT150-1</f>
        <v>52</v>
      </c>
      <c r="AT150" s="303">
        <f t="shared" ref="AT150" si="209">AU150-1</f>
        <v>53</v>
      </c>
      <c r="AU150" s="303">
        <f>VLOOKUP(AU151,Dates!$A:$D,2,FALSE)</f>
        <v>54</v>
      </c>
    </row>
    <row r="151" spans="1:47">
      <c r="A151" s="49"/>
      <c r="B151" s="49"/>
      <c r="C151" s="49"/>
      <c r="D151" s="49"/>
      <c r="E151" s="49"/>
      <c r="F151" s="49"/>
      <c r="G151" s="49"/>
      <c r="H151" s="49"/>
      <c r="I151" s="49"/>
      <c r="J151" s="49"/>
      <c r="K151" s="49"/>
      <c r="L151" s="49"/>
      <c r="M151" s="49"/>
      <c r="N151" s="49"/>
      <c r="O151" s="49"/>
      <c r="P151" s="49"/>
      <c r="Q151" s="49"/>
      <c r="R151" s="49"/>
      <c r="S151" s="49"/>
      <c r="T151" s="49"/>
      <c r="U151" s="49"/>
      <c r="V151" s="49"/>
      <c r="W151" s="49"/>
      <c r="AB151" s="303" t="str">
        <f>IFERROR(VLOOKUP(AB150,Dates!$B:$D,3,FALSE),"")</f>
        <v>3Q20</v>
      </c>
      <c r="AC151" s="303" t="str">
        <f>IFERROR(VLOOKUP(AC150,Dates!$B:$D,3,FALSE),"")</f>
        <v>4Q20</v>
      </c>
      <c r="AD151" s="303" t="str">
        <f>IFERROR(VLOOKUP(AD150,Dates!$B:$D,3,FALSE),"")</f>
        <v>1Q21</v>
      </c>
      <c r="AE151" s="303" t="str">
        <f>IFERROR(VLOOKUP(AE150,Dates!$B:$D,3,FALSE),"")</f>
        <v>2Q21</v>
      </c>
      <c r="AF151" s="303" t="str">
        <f>IFERROR(VLOOKUP(AF150,Dates!$B:$D,3,FALSE),"")</f>
        <v>3Q21</v>
      </c>
      <c r="AG151" s="303" t="str">
        <f>IFERROR(VLOOKUP(AG150,Dates!$B:$D,3,FALSE),"")</f>
        <v>4Q21</v>
      </c>
      <c r="AH151" s="303" t="str">
        <f>IFERROR(VLOOKUP(AH150,Dates!$B:$D,3,FALSE),"")</f>
        <v>1Q22</v>
      </c>
      <c r="AI151" s="303" t="str">
        <f>IFERROR(VLOOKUP(AI150,Dates!$B:$D,3,FALSE),"")</f>
        <v>2Q22</v>
      </c>
      <c r="AJ151" s="303" t="str">
        <f>IFERROR(VLOOKUP(AJ150,Dates!$B:$D,3,FALSE),"")</f>
        <v>3Q22</v>
      </c>
      <c r="AK151" s="303" t="str">
        <f>IFERROR(VLOOKUP(AK150,Dates!$B:$D,3,FALSE),"")</f>
        <v>4Q22</v>
      </c>
      <c r="AL151" s="303" t="str">
        <f>IFERROR(VLOOKUP(AL150,Dates!$B:$D,3,FALSE),"")</f>
        <v>1Q23</v>
      </c>
      <c r="AM151" s="303" t="str">
        <f>IFERROR(VLOOKUP(AM150,Dates!$B:$D,3,FALSE),"")</f>
        <v>2Q23</v>
      </c>
      <c r="AN151" s="303" t="str">
        <f>IFERROR(VLOOKUP(AN150,Dates!$B:$D,3,FALSE),"")</f>
        <v>3Q23</v>
      </c>
      <c r="AO151" s="303" t="str">
        <f>IFERROR(VLOOKUP(AO150,Dates!$B:$D,3,FALSE),"")</f>
        <v>4Q23</v>
      </c>
      <c r="AP151" s="303" t="str">
        <f>IFERROR(VLOOKUP(AP150,Dates!$B:$D,3,FALSE),"")</f>
        <v>1Q24</v>
      </c>
      <c r="AQ151" s="303" t="str">
        <f>IFERROR(VLOOKUP(AQ150,Dates!$B:$D,3,FALSE),"")</f>
        <v>2Q24</v>
      </c>
      <c r="AR151" s="303" t="str">
        <f>IFERROR(VLOOKUP(AR150,Dates!$B:$D,3,FALSE),"")</f>
        <v>3Q24</v>
      </c>
      <c r="AS151" s="303" t="str">
        <f>IFERROR(VLOOKUP(AS150,Dates!$B:$D,3,FALSE),"")</f>
        <v>4Q24</v>
      </c>
      <c r="AT151" s="303" t="str">
        <f>IFERROR(VLOOKUP(AT150,Dates!$B:$D,3,FALSE),"")</f>
        <v>1Q25</v>
      </c>
      <c r="AU151" s="315" t="str">
        <f>$G$3</f>
        <v>2Q25</v>
      </c>
    </row>
    <row r="152" spans="1:47">
      <c r="A152" s="49"/>
      <c r="B152" s="49"/>
      <c r="C152" s="49"/>
      <c r="D152" s="49"/>
      <c r="E152" s="49"/>
      <c r="F152" s="49"/>
      <c r="G152" s="49"/>
      <c r="H152" s="49"/>
      <c r="I152" s="49"/>
      <c r="J152" s="49"/>
      <c r="K152" s="49"/>
      <c r="L152" s="49"/>
      <c r="M152" s="49"/>
      <c r="N152" s="49"/>
      <c r="O152" s="49"/>
      <c r="P152" s="49"/>
      <c r="Q152" s="49"/>
      <c r="R152" s="49"/>
      <c r="S152" s="49"/>
      <c r="T152" s="49"/>
      <c r="U152" s="49"/>
      <c r="V152" s="49"/>
      <c r="W152" s="49"/>
      <c r="AA152" s="316" t="str">
        <f>'Domestic Mobile Operations'!A102</f>
        <v>3G/4G net adds</v>
      </c>
      <c r="AB152" s="317">
        <f>IFERROR(INDEX('Domestic Mobile Operations'!$A:$ABB,MATCH($AA152,'Domestic Mobile Operations'!$A:$A,0),MATCH(AB151,'Domestic Mobile Operations'!$1:$1,0)),"")</f>
        <v>20682.111999999994</v>
      </c>
      <c r="AC152" s="317">
        <f>IFERROR(INDEX('Domestic Mobile Operations'!$A:$ABB,MATCH($AA152,'Domestic Mobile Operations'!$A:$A,0),MATCH(AC151,'Domestic Mobile Operations'!$1:$1,0)),"")</f>
        <v>12516.291999999987</v>
      </c>
      <c r="AD152" s="317">
        <f>IFERROR(INDEX('Domestic Mobile Operations'!$A:$ABB,MATCH($AA152,'Domestic Mobile Operations'!$A:$A,0),MATCH(AD151,'Domestic Mobile Operations'!$1:$1,0)),"")</f>
        <v>1984.4459999999963</v>
      </c>
      <c r="AE152" s="317">
        <f>IFERROR(INDEX('Domestic Mobile Operations'!$A:$ABB,MATCH($AA152,'Domestic Mobile Operations'!$A:$A,0),MATCH(AE151,'Domestic Mobile Operations'!$1:$1,0)),"")</f>
        <v>14390.791000000027</v>
      </c>
      <c r="AF152" s="317">
        <f>IFERROR(INDEX('Domestic Mobile Operations'!$A:$ABB,MATCH($AA152,'Domestic Mobile Operations'!$A:$A,0),MATCH(AF151,'Domestic Mobile Operations'!$1:$1,0)),"")</f>
        <v>12943.933999999979</v>
      </c>
      <c r="AG152" s="317">
        <f>IFERROR(INDEX('Domestic Mobile Operations'!$A:$ABB,MATCH($AA152,'Domestic Mobile Operations'!$A:$A,0),MATCH(AG151,'Domestic Mobile Operations'!$1:$1,0)),"")</f>
        <v>13664.369000000035</v>
      </c>
      <c r="AH152" s="317">
        <f>IFERROR(INDEX('Domestic Mobile Operations'!$A:$ABB,MATCH($AA152,'Domestic Mobile Operations'!$A:$A,0),MATCH(AH151,'Domestic Mobile Operations'!$1:$1,0)),"")</f>
        <v>5133.8809999999939</v>
      </c>
      <c r="AI152" s="317">
        <f>IFERROR(INDEX('Domestic Mobile Operations'!$A:$ABB,MATCH($AA152,'Domestic Mobile Operations'!$A:$A,0),MATCH(AI151,'Domestic Mobile Operations'!$1:$1,0)),"")</f>
        <v>8111.7390000000014</v>
      </c>
      <c r="AJ152" s="317">
        <f>IFERROR(INDEX('Domestic Mobile Operations'!$A:$ABB,MATCH($AA152,'Domestic Mobile Operations'!$A:$A,0),MATCH(AJ151,'Domestic Mobile Operations'!$1:$1,0)),"")</f>
        <v>3002.435999999987</v>
      </c>
      <c r="AK152" s="317">
        <f>IFERROR(INDEX('Domestic Mobile Operations'!$A:$ABB,MATCH($AA152,'Domestic Mobile Operations'!$A:$A,0),MATCH(AK151,'Domestic Mobile Operations'!$1:$1,0)),"")</f>
        <v>5245</v>
      </c>
      <c r="AL152" s="317">
        <f>IFERROR(INDEX('Domestic Mobile Operations'!$A:$ABB,MATCH($AA152,'Domestic Mobile Operations'!$A:$A,0),MATCH(AL151,'Domestic Mobile Operations'!$1:$1,0)),"")</f>
        <v>4477.3310000000056</v>
      </c>
      <c r="AM152" s="317">
        <f>IFERROR(INDEX('Domestic Mobile Operations'!$A:$ABB,MATCH($AA152,'Domestic Mobile Operations'!$A:$A,0),MATCH(AM151,'Domestic Mobile Operations'!$1:$1,0)),"")</f>
        <v>5036.9809999999707</v>
      </c>
      <c r="AN152" s="317">
        <f>IFERROR(INDEX('Domestic Mobile Operations'!$A:$ABB,MATCH($AA152,'Domestic Mobile Operations'!$A:$A,0),MATCH(AN151,'Domestic Mobile Operations'!$1:$1,0)),"")</f>
        <v>6420.3810000000522</v>
      </c>
      <c r="AO152" s="317">
        <f>IFERROR(INDEX('Domestic Mobile Operations'!$A:$ABB,MATCH($AA152,'Domestic Mobile Operations'!$A:$A,0),MATCH(AO151,'Domestic Mobile Operations'!$1:$1,0)),"")</f>
        <v>7403.7239999999874</v>
      </c>
      <c r="AP152" s="317">
        <f>IFERROR(INDEX('Domestic Mobile Operations'!$A:$ABB,MATCH($AA152,'Domestic Mobile Operations'!$A:$A,0),MATCH(AP151,'Domestic Mobile Operations'!$1:$1,0)),"")</f>
        <v>5623.4110000000219</v>
      </c>
      <c r="AQ152" s="317">
        <f>IFERROR(INDEX('Domestic Mobile Operations'!$A:$ABB,MATCH($AA152,'Domestic Mobile Operations'!$A:$A,0),MATCH(AQ151,'Domestic Mobile Operations'!$1:$1,0)),"")</f>
        <v>7718.9110000000219</v>
      </c>
      <c r="AR152" s="317">
        <f>IFERROR(INDEX('Domestic Mobile Operations'!$A:$ABB,MATCH($AA152,'Domestic Mobile Operations'!$A:$A,0),MATCH(AR151,'Domestic Mobile Operations'!$1:$1,0)),"")</f>
        <v>7442.8579999999492</v>
      </c>
      <c r="AS152" s="317">
        <f>IFERROR(INDEX('Domestic Mobile Operations'!$A:$ABB,MATCH($AA152,'Domestic Mobile Operations'!$A:$A,0),MATCH(AS151,'Domestic Mobile Operations'!$1:$1,0)),"")</f>
        <v>7838.9109999999928</v>
      </c>
      <c r="AT152" s="317">
        <f>IFERROR(INDEX('Domestic Mobile Operations'!$A:$ABB,MATCH($AA152,'Domestic Mobile Operations'!$A:$A,0),MATCH(AT151,'Domestic Mobile Operations'!$1:$1,0)),"")</f>
        <v>6680.4320000000007</v>
      </c>
      <c r="AU152" s="317">
        <f>IFERROR(INDEX('Domestic Mobile Operations'!$A:$ABB,MATCH($AA152,'Domestic Mobile Operations'!$A:$A,0),MATCH(AU151,'Domestic Mobile Operations'!$1:$1,0)),"")</f>
        <v>4206.8300000000163</v>
      </c>
    </row>
    <row r="153" spans="1:47">
      <c r="A153" s="49"/>
      <c r="B153" s="49"/>
      <c r="C153" s="49"/>
      <c r="D153" s="49"/>
      <c r="E153" s="49"/>
      <c r="F153" s="49"/>
      <c r="G153" s="49"/>
      <c r="H153" s="49"/>
      <c r="I153" s="49"/>
      <c r="J153" s="49"/>
      <c r="K153" s="49"/>
      <c r="L153" s="49"/>
      <c r="M153" s="49"/>
      <c r="N153" s="49"/>
      <c r="O153" s="49"/>
      <c r="P153" s="49"/>
      <c r="Q153" s="49"/>
      <c r="R153" s="49"/>
      <c r="S153" s="49"/>
      <c r="T153" s="49"/>
      <c r="U153" s="49"/>
      <c r="V153" s="49"/>
      <c r="W153" s="49"/>
      <c r="AA153" s="316" t="str">
        <f>'Domestic Mobile Operations'!A103</f>
        <v>2G data net adds</v>
      </c>
      <c r="AB153" s="317">
        <f>IFERROR(INDEX('Domestic Mobile Operations'!$A:$ABB,MATCH($AA153,'Domestic Mobile Operations'!$A:$A,0),MATCH(AB151,'Domestic Mobile Operations'!$1:$1,0)),"")</f>
        <v>-6481.0009999999893</v>
      </c>
      <c r="AC153" s="317">
        <f>IFERROR(INDEX('Domestic Mobile Operations'!$A:$ABB,MATCH($AA153,'Domestic Mobile Operations'!$A:$A,0),MATCH(AC151,'Domestic Mobile Operations'!$1:$1,0)),"")</f>
        <v>-2381.0389999999898</v>
      </c>
      <c r="AD153" s="317">
        <f>IFERROR(INDEX('Domestic Mobile Operations'!$A:$ABB,MATCH($AA153,'Domestic Mobile Operations'!$A:$A,0),MATCH(AD151,'Domestic Mobile Operations'!$1:$1,0)),"")</f>
        <v>-1473.5550000000221</v>
      </c>
      <c r="AE153" s="317">
        <f>IFERROR(INDEX('Domestic Mobile Operations'!$A:$ABB,MATCH($AA153,'Domestic Mobile Operations'!$A:$A,0),MATCH(AE151,'Domestic Mobile Operations'!$1:$1,0)),"")</f>
        <v>-1294.6600000000035</v>
      </c>
      <c r="AF153" s="317">
        <f>IFERROR(INDEX('Domestic Mobile Operations'!$A:$ABB,MATCH($AA153,'Domestic Mobile Operations'!$A:$A,0),MATCH(AF151,'Domestic Mobile Operations'!$1:$1,0)),"")</f>
        <v>-387.32099999993807</v>
      </c>
      <c r="AG153" s="317">
        <f>IFERROR(INDEX('Domestic Mobile Operations'!$A:$ABB,MATCH($AA153,'Domestic Mobile Operations'!$A:$A,0),MATCH(AG151,'Domestic Mobile Operations'!$1:$1,0)),"")</f>
        <v>229.03899999996065</v>
      </c>
      <c r="AH153" s="317">
        <f>IFERROR(INDEX('Domestic Mobile Operations'!$A:$ABB,MATCH($AA153,'Domestic Mobile Operations'!$A:$A,0),MATCH(AH151,'Domestic Mobile Operations'!$1:$1,0)),"")</f>
        <v>-834.35599999999977</v>
      </c>
      <c r="AI153" s="317">
        <f>IFERROR(INDEX('Domestic Mobile Operations'!$A:$ABB,MATCH($AA153,'Domestic Mobile Operations'!$A:$A,0),MATCH(AI151,'Domestic Mobile Operations'!$1:$1,0)),"")</f>
        <v>-1019.5660000000498</v>
      </c>
      <c r="AJ153" s="317">
        <f>IFERROR(INDEX('Domestic Mobile Operations'!$A:$ABB,MATCH($AA153,'Domestic Mobile Operations'!$A:$A,0),MATCH(AJ151,'Domestic Mobile Operations'!$1:$1,0)),"")</f>
        <v>-78.901999999972759</v>
      </c>
      <c r="AK153" s="317">
        <f>IFERROR(INDEX('Domestic Mobile Operations'!$A:$ABB,MATCH($AA153,'Domestic Mobile Operations'!$A:$A,0),MATCH(AK151,'Domestic Mobile Operations'!$1:$1,0)),"")</f>
        <v>252.78900000001886</v>
      </c>
      <c r="AL153" s="317">
        <f>IFERROR(INDEX('Domestic Mobile Operations'!$A:$ABB,MATCH($AA153,'Domestic Mobile Operations'!$A:$A,0),MATCH(AL151,'Domestic Mobile Operations'!$1:$1,0)),"")</f>
        <v>331.97799999997369</v>
      </c>
      <c r="AM153" s="317">
        <f>IFERROR(INDEX('Domestic Mobile Operations'!$A:$ABB,MATCH($AA153,'Domestic Mobile Operations'!$A:$A,0),MATCH(AM151,'Domestic Mobile Operations'!$1:$1,0)),"")</f>
        <v>805</v>
      </c>
      <c r="AN153" s="317">
        <f>IFERROR(INDEX('Domestic Mobile Operations'!$A:$ABB,MATCH($AA153,'Domestic Mobile Operations'!$A:$A,0),MATCH(AN151,'Domestic Mobile Operations'!$1:$1,0)),"")</f>
        <v>-227.87800000005518</v>
      </c>
      <c r="AO153" s="317">
        <f>IFERROR(INDEX('Domestic Mobile Operations'!$A:$ABB,MATCH($AA153,'Domestic Mobile Operations'!$A:$A,0),MATCH(AO151,'Domestic Mobile Operations'!$1:$1,0)),"")</f>
        <v>-17.82299999994575</v>
      </c>
      <c r="AP153" s="317">
        <f>IFERROR(INDEX('Domestic Mobile Operations'!$A:$ABB,MATCH($AA153,'Domestic Mobile Operations'!$A:$A,0),MATCH(AP151,'Domestic Mobile Operations'!$1:$1,0)),"")</f>
        <v>-75.52900000003865</v>
      </c>
      <c r="AQ153" s="317">
        <f>IFERROR(INDEX('Domestic Mobile Operations'!$A:$ABB,MATCH($AA153,'Domestic Mobile Operations'!$A:$A,0),MATCH(AQ151,'Domestic Mobile Operations'!$1:$1,0)),"")</f>
        <v>-57.653000000020256</v>
      </c>
      <c r="AR153" s="317">
        <f>IFERROR(INDEX('Domestic Mobile Operations'!$A:$ABB,MATCH($AA153,'Domestic Mobile Operations'!$A:$A,0),MATCH(AR151,'Domestic Mobile Operations'!$1:$1,0)),"")</f>
        <v>-171.20399999991059</v>
      </c>
      <c r="AS153" s="317">
        <f>IFERROR(INDEX('Domestic Mobile Operations'!$A:$ABB,MATCH($AA153,'Domestic Mobile Operations'!$A:$A,0),MATCH(AS151,'Domestic Mobile Operations'!$1:$1,0)),"")</f>
        <v>-151.06200000009267</v>
      </c>
      <c r="AT153" s="317">
        <f>IFERROR(INDEX('Domestic Mobile Operations'!$A:$ABB,MATCH($AA153,'Domestic Mobile Operations'!$A:$A,0),MATCH(AT151,'Domestic Mobile Operations'!$1:$1,0)),"")</f>
        <v>-398.1589999999851</v>
      </c>
      <c r="AU153" s="317">
        <f>IFERROR(INDEX('Domestic Mobile Operations'!$A:$ABB,MATCH($AA153,'Domestic Mobile Operations'!$A:$A,0),MATCH(AU151,'Domestic Mobile Operations'!$1:$1,0)),"")</f>
        <v>-172.91099999996368</v>
      </c>
    </row>
    <row r="154" spans="1:47">
      <c r="A154" s="49"/>
      <c r="B154" s="49"/>
      <c r="C154" s="49"/>
      <c r="D154" s="49"/>
      <c r="E154" s="49"/>
      <c r="F154" s="49"/>
      <c r="G154" s="49"/>
      <c r="H154" s="49"/>
      <c r="I154" s="49"/>
      <c r="J154" s="49"/>
      <c r="K154" s="49"/>
      <c r="L154" s="49"/>
      <c r="M154" s="49"/>
      <c r="N154" s="49"/>
      <c r="O154" s="49"/>
      <c r="P154" s="49"/>
      <c r="Q154" s="49"/>
      <c r="R154" s="49"/>
      <c r="S154" s="49"/>
      <c r="T154" s="49"/>
      <c r="U154" s="49"/>
      <c r="V154" s="49"/>
      <c r="W154" s="49"/>
    </row>
    <row r="155" spans="1:47">
      <c r="A155" s="49"/>
      <c r="B155" s="49"/>
      <c r="C155" s="49"/>
      <c r="D155" s="49"/>
      <c r="E155" s="49"/>
      <c r="F155" s="49"/>
      <c r="G155" s="49"/>
      <c r="H155" s="49"/>
      <c r="I155" s="49"/>
      <c r="J155" s="49"/>
      <c r="K155" s="49"/>
      <c r="L155" s="49"/>
      <c r="M155" s="49"/>
      <c r="N155" s="49"/>
      <c r="O155" s="49"/>
      <c r="P155" s="49"/>
      <c r="Q155" s="49"/>
      <c r="R155" s="49"/>
      <c r="S155" s="49"/>
      <c r="T155" s="49"/>
      <c r="U155" s="49"/>
      <c r="V155" s="49"/>
      <c r="W155" s="49"/>
    </row>
    <row r="156" spans="1:47">
      <c r="A156" s="49"/>
      <c r="B156" s="49"/>
      <c r="C156" s="49"/>
      <c r="D156" s="49"/>
      <c r="E156" s="49"/>
      <c r="F156" s="49"/>
      <c r="G156" s="49"/>
      <c r="H156" s="49"/>
      <c r="I156" s="49"/>
      <c r="J156" s="49"/>
      <c r="K156" s="49"/>
      <c r="L156" s="49"/>
      <c r="M156" s="49"/>
      <c r="N156" s="49"/>
      <c r="O156" s="49"/>
      <c r="P156" s="49"/>
      <c r="Q156" s="49"/>
      <c r="R156" s="49"/>
      <c r="S156" s="49"/>
      <c r="T156" s="49"/>
      <c r="U156" s="49"/>
      <c r="V156" s="49"/>
      <c r="W156" s="49"/>
    </row>
    <row r="157" spans="1:47">
      <c r="A157" s="49"/>
      <c r="B157" s="49"/>
      <c r="C157" s="49"/>
      <c r="D157" s="49"/>
      <c r="E157" s="49"/>
      <c r="F157" s="49"/>
      <c r="G157" s="49"/>
      <c r="H157" s="49"/>
      <c r="I157" s="49"/>
      <c r="J157" s="49"/>
      <c r="K157" s="49"/>
      <c r="L157" s="49"/>
      <c r="M157" s="49"/>
      <c r="N157" s="49"/>
      <c r="O157" s="49"/>
      <c r="P157" s="49"/>
      <c r="Q157" s="49"/>
      <c r="R157" s="49"/>
      <c r="S157" s="49"/>
      <c r="T157" s="49"/>
      <c r="U157" s="49"/>
      <c r="V157" s="49"/>
      <c r="W157" s="49"/>
    </row>
    <row r="158" spans="1:47">
      <c r="A158" s="49" t="s">
        <v>558</v>
      </c>
      <c r="B158" s="49"/>
      <c r="C158" s="49"/>
      <c r="D158" s="49"/>
      <c r="E158" s="49"/>
      <c r="F158" s="49"/>
      <c r="G158" s="49"/>
      <c r="H158" s="49"/>
      <c r="I158" s="49"/>
      <c r="J158" s="49"/>
      <c r="K158" s="49" t="s">
        <v>603</v>
      </c>
      <c r="L158" s="49"/>
      <c r="M158" s="49"/>
      <c r="N158" s="49"/>
      <c r="O158" s="49"/>
      <c r="P158" s="49"/>
      <c r="Q158" s="49"/>
      <c r="R158" s="49"/>
      <c r="S158" s="49"/>
      <c r="T158" s="49"/>
      <c r="U158" s="49"/>
      <c r="V158" s="49"/>
      <c r="W158" s="49"/>
    </row>
    <row r="159" spans="1:47">
      <c r="A159" s="49" t="s">
        <v>559</v>
      </c>
      <c r="B159" s="49"/>
      <c r="C159" s="49"/>
      <c r="D159" s="49"/>
      <c r="E159" s="49"/>
      <c r="F159" s="49"/>
      <c r="G159" s="49"/>
      <c r="H159" s="49"/>
      <c r="I159" s="49"/>
      <c r="J159" s="49"/>
      <c r="K159" s="49"/>
      <c r="L159" s="49"/>
      <c r="M159" s="49"/>
      <c r="N159" s="49"/>
      <c r="O159" s="49"/>
      <c r="P159" s="49"/>
      <c r="Q159" s="49"/>
      <c r="R159" s="49"/>
      <c r="S159" s="49"/>
      <c r="T159" s="49"/>
      <c r="U159" s="49"/>
      <c r="V159" s="49"/>
      <c r="W159" s="49"/>
    </row>
    <row r="160" spans="1:47">
      <c r="A160" s="1" t="s">
        <v>449</v>
      </c>
      <c r="B160" s="1" t="s">
        <v>472</v>
      </c>
      <c r="C160" s="1"/>
      <c r="D160" s="1"/>
      <c r="E160" s="1"/>
      <c r="F160" s="1"/>
      <c r="G160" s="1"/>
      <c r="H160" s="1"/>
      <c r="I160" s="1"/>
      <c r="J160" s="1"/>
      <c r="K160" s="1" t="s">
        <v>450</v>
      </c>
      <c r="L160" s="1" t="s">
        <v>365</v>
      </c>
      <c r="M160" s="1"/>
      <c r="N160" s="1"/>
      <c r="O160" s="1"/>
      <c r="P160" s="1"/>
      <c r="Q160" s="1"/>
      <c r="R160" s="1"/>
      <c r="S160" s="1"/>
      <c r="T160" s="1"/>
      <c r="U160" s="49"/>
      <c r="V160" s="49"/>
      <c r="W160" s="49"/>
    </row>
    <row r="161" spans="1:47">
      <c r="A161" s="49"/>
      <c r="B161" s="49"/>
      <c r="C161" s="49"/>
      <c r="D161" s="49"/>
      <c r="E161" s="49"/>
      <c r="F161" s="49"/>
      <c r="G161" s="49"/>
      <c r="H161" s="49"/>
      <c r="I161" s="49"/>
      <c r="J161" s="49"/>
      <c r="K161" s="49"/>
      <c r="L161" s="49"/>
      <c r="M161" s="49"/>
      <c r="N161" s="49"/>
      <c r="O161" s="49"/>
      <c r="P161" s="49"/>
      <c r="Q161" s="49"/>
      <c r="R161" s="49"/>
      <c r="S161" s="49"/>
      <c r="T161" s="49"/>
      <c r="U161" s="49"/>
      <c r="V161" s="49"/>
      <c r="W161" s="49"/>
    </row>
    <row r="162" spans="1:47">
      <c r="A162" s="49"/>
      <c r="B162" s="49"/>
      <c r="C162" s="49"/>
      <c r="D162" s="49"/>
      <c r="E162" s="49"/>
      <c r="F162" s="49"/>
      <c r="G162" s="49"/>
      <c r="H162" s="49"/>
      <c r="I162" s="49"/>
      <c r="J162" s="49"/>
      <c r="K162" s="49"/>
      <c r="L162" s="49"/>
      <c r="M162" s="49"/>
      <c r="N162" s="49"/>
      <c r="O162" s="49"/>
      <c r="P162" s="49"/>
      <c r="Q162" s="49"/>
      <c r="R162" s="49"/>
      <c r="S162" s="49"/>
      <c r="T162" s="49"/>
      <c r="U162" s="49"/>
      <c r="V162" s="49"/>
      <c r="W162" s="49"/>
    </row>
    <row r="163" spans="1:47">
      <c r="A163" s="49"/>
      <c r="B163" s="49"/>
      <c r="C163" s="49"/>
      <c r="D163" s="49"/>
      <c r="E163" s="49"/>
      <c r="F163" s="49"/>
      <c r="G163" s="49"/>
      <c r="H163" s="49"/>
      <c r="I163" s="49"/>
      <c r="J163" s="49"/>
      <c r="K163" s="49"/>
      <c r="L163" s="49"/>
      <c r="M163" s="49"/>
      <c r="N163" s="49"/>
      <c r="O163" s="49"/>
      <c r="P163" s="49"/>
      <c r="Q163" s="49"/>
      <c r="R163" s="49"/>
      <c r="S163" s="49"/>
      <c r="T163" s="49"/>
      <c r="U163" s="49"/>
      <c r="V163" s="49"/>
      <c r="W163" s="49"/>
    </row>
    <row r="164" spans="1:47">
      <c r="A164" s="49"/>
      <c r="B164" s="49"/>
      <c r="C164" s="49"/>
      <c r="D164" s="49"/>
      <c r="E164" s="49"/>
      <c r="F164" s="49"/>
      <c r="G164" s="49"/>
      <c r="H164" s="49"/>
      <c r="I164" s="49"/>
      <c r="J164" s="49"/>
      <c r="K164" s="49"/>
      <c r="L164" s="49"/>
      <c r="M164" s="49"/>
      <c r="N164" s="49"/>
      <c r="O164" s="49"/>
      <c r="P164" s="49"/>
      <c r="Q164" s="49"/>
      <c r="R164" s="49"/>
      <c r="S164" s="49"/>
      <c r="T164" s="49"/>
      <c r="U164" s="49"/>
      <c r="V164" s="49"/>
      <c r="W164" s="49"/>
      <c r="AB164" s="303">
        <f t="shared" ref="AB164" si="210">AC164-1</f>
        <v>35</v>
      </c>
      <c r="AC164" s="303">
        <f t="shared" ref="AC164" si="211">AD164-1</f>
        <v>36</v>
      </c>
      <c r="AD164" s="303">
        <f t="shared" ref="AD164" si="212">AE164-1</f>
        <v>37</v>
      </c>
      <c r="AE164" s="303">
        <f t="shared" ref="AE164" si="213">AF164-1</f>
        <v>38</v>
      </c>
      <c r="AF164" s="303">
        <f t="shared" ref="AF164" si="214">AG164-1</f>
        <v>39</v>
      </c>
      <c r="AG164" s="303">
        <f t="shared" ref="AG164" si="215">AH164-1</f>
        <v>40</v>
      </c>
      <c r="AH164" s="303">
        <f t="shared" ref="AH164" si="216">AI164-1</f>
        <v>41</v>
      </c>
      <c r="AI164" s="303">
        <f t="shared" ref="AI164" si="217">AJ164-1</f>
        <v>42</v>
      </c>
      <c r="AJ164" s="303">
        <f t="shared" ref="AJ164" si="218">AK164-1</f>
        <v>43</v>
      </c>
      <c r="AK164" s="303">
        <f t="shared" ref="AK164" si="219">AL164-1</f>
        <v>44</v>
      </c>
      <c r="AL164" s="303">
        <f t="shared" ref="AL164" si="220">AM164-1</f>
        <v>45</v>
      </c>
      <c r="AM164" s="303">
        <f t="shared" ref="AM164" si="221">AN164-1</f>
        <v>46</v>
      </c>
      <c r="AN164" s="303">
        <f t="shared" ref="AN164" si="222">AO164-1</f>
        <v>47</v>
      </c>
      <c r="AO164" s="303">
        <f t="shared" ref="AO164" si="223">AP164-1</f>
        <v>48</v>
      </c>
      <c r="AP164" s="303">
        <f t="shared" ref="AP164" si="224">AQ164-1</f>
        <v>49</v>
      </c>
      <c r="AQ164" s="303">
        <f t="shared" ref="AQ164" si="225">AR164-1</f>
        <v>50</v>
      </c>
      <c r="AR164" s="303">
        <f t="shared" ref="AR164" si="226">AS164-1</f>
        <v>51</v>
      </c>
      <c r="AS164" s="303">
        <f t="shared" ref="AS164" si="227">AT164-1</f>
        <v>52</v>
      </c>
      <c r="AT164" s="303">
        <f t="shared" ref="AT164" si="228">AU164-1</f>
        <v>53</v>
      </c>
      <c r="AU164" s="303">
        <f>VLOOKUP(AU165,Dates!$A:$D,2,FALSE)</f>
        <v>54</v>
      </c>
    </row>
    <row r="165" spans="1:47">
      <c r="A165" s="49"/>
      <c r="B165" s="49"/>
      <c r="C165" s="49"/>
      <c r="D165" s="49"/>
      <c r="E165" s="49"/>
      <c r="F165" s="49"/>
      <c r="G165" s="49"/>
      <c r="H165" s="49"/>
      <c r="I165" s="49"/>
      <c r="J165" s="49"/>
      <c r="K165" s="49"/>
      <c r="L165" s="49"/>
      <c r="M165" s="49"/>
      <c r="N165" s="49"/>
      <c r="O165" s="49"/>
      <c r="P165" s="49"/>
      <c r="Q165" s="49"/>
      <c r="R165" s="49"/>
      <c r="S165" s="49"/>
      <c r="T165" s="49"/>
      <c r="U165" s="49"/>
      <c r="V165" s="49"/>
      <c r="W165" s="49"/>
      <c r="AB165" s="303" t="str">
        <f>IFERROR(VLOOKUP(AB164,Dates!$B:$D,3,FALSE),"")</f>
        <v>3Q20</v>
      </c>
      <c r="AC165" s="303" t="str">
        <f>IFERROR(VLOOKUP(AC164,Dates!$B:$D,3,FALSE),"")</f>
        <v>4Q20</v>
      </c>
      <c r="AD165" s="303" t="str">
        <f>IFERROR(VLOOKUP(AD164,Dates!$B:$D,3,FALSE),"")</f>
        <v>1Q21</v>
      </c>
      <c r="AE165" s="303" t="str">
        <f>IFERROR(VLOOKUP(AE164,Dates!$B:$D,3,FALSE),"")</f>
        <v>2Q21</v>
      </c>
      <c r="AF165" s="303" t="str">
        <f>IFERROR(VLOOKUP(AF164,Dates!$B:$D,3,FALSE),"")</f>
        <v>3Q21</v>
      </c>
      <c r="AG165" s="303" t="str">
        <f>IFERROR(VLOOKUP(AG164,Dates!$B:$D,3,FALSE),"")</f>
        <v>4Q21</v>
      </c>
      <c r="AH165" s="303" t="str">
        <f>IFERROR(VLOOKUP(AH164,Dates!$B:$D,3,FALSE),"")</f>
        <v>1Q22</v>
      </c>
      <c r="AI165" s="303" t="str">
        <f>IFERROR(VLOOKUP(AI164,Dates!$B:$D,3,FALSE),"")</f>
        <v>2Q22</v>
      </c>
      <c r="AJ165" s="303" t="str">
        <f>IFERROR(VLOOKUP(AJ164,Dates!$B:$D,3,FALSE),"")</f>
        <v>3Q22</v>
      </c>
      <c r="AK165" s="303" t="str">
        <f>IFERROR(VLOOKUP(AK164,Dates!$B:$D,3,FALSE),"")</f>
        <v>4Q22</v>
      </c>
      <c r="AL165" s="303" t="str">
        <f>IFERROR(VLOOKUP(AL164,Dates!$B:$D,3,FALSE),"")</f>
        <v>1Q23</v>
      </c>
      <c r="AM165" s="303" t="str">
        <f>IFERROR(VLOOKUP(AM164,Dates!$B:$D,3,FALSE),"")</f>
        <v>2Q23</v>
      </c>
      <c r="AN165" s="303" t="str">
        <f>IFERROR(VLOOKUP(AN164,Dates!$B:$D,3,FALSE),"")</f>
        <v>3Q23</v>
      </c>
      <c r="AO165" s="303" t="str">
        <f>IFERROR(VLOOKUP(AO164,Dates!$B:$D,3,FALSE),"")</f>
        <v>4Q23</v>
      </c>
      <c r="AP165" s="303" t="str">
        <f>IFERROR(VLOOKUP(AP164,Dates!$B:$D,3,FALSE),"")</f>
        <v>1Q24</v>
      </c>
      <c r="AQ165" s="303" t="str">
        <f>IFERROR(VLOOKUP(AQ164,Dates!$B:$D,3,FALSE),"")</f>
        <v>2Q24</v>
      </c>
      <c r="AR165" s="303" t="str">
        <f>IFERROR(VLOOKUP(AR164,Dates!$B:$D,3,FALSE),"")</f>
        <v>3Q24</v>
      </c>
      <c r="AS165" s="303" t="str">
        <f>IFERROR(VLOOKUP(AS164,Dates!$B:$D,3,FALSE),"")</f>
        <v>4Q24</v>
      </c>
      <c r="AT165" s="303" t="str">
        <f>IFERROR(VLOOKUP(AT164,Dates!$B:$D,3,FALSE),"")</f>
        <v>1Q25</v>
      </c>
      <c r="AU165" s="315" t="str">
        <f>$G$3</f>
        <v>2Q25</v>
      </c>
    </row>
    <row r="166" spans="1:47">
      <c r="A166" s="49"/>
      <c r="B166" s="49"/>
      <c r="C166" s="49"/>
      <c r="D166" s="49"/>
      <c r="E166" s="49"/>
      <c r="F166" s="49"/>
      <c r="G166" s="49"/>
      <c r="H166" s="49"/>
      <c r="I166" s="49"/>
      <c r="J166" s="49"/>
      <c r="K166" s="49"/>
      <c r="L166" s="49"/>
      <c r="M166" s="49"/>
      <c r="N166" s="49"/>
      <c r="O166" s="49"/>
      <c r="P166" s="49"/>
      <c r="Q166" s="49"/>
      <c r="R166" s="49"/>
      <c r="S166" s="49"/>
      <c r="T166" s="49"/>
      <c r="U166" s="49"/>
      <c r="V166" s="49"/>
      <c r="W166" s="49"/>
      <c r="AA166" s="316" t="str">
        <f>'Domestic Mobile Operations'!A65</f>
        <v>Total ARPU Growth (YoY)</v>
      </c>
      <c r="AB166" s="318">
        <f>IFERROR(INDEX('Domestic Mobile Operations'!$A:$ABB,MATCH($AA166,'Domestic Mobile Operations'!$A:$A,0),MATCH(AB165,'Domestic Mobile Operations'!$1:$1,0)),"")</f>
        <v>0.29664741745024914</v>
      </c>
      <c r="AC166" s="318">
        <f>IFERROR(INDEX('Domestic Mobile Operations'!$A:$ABB,MATCH($AA166,'Domestic Mobile Operations'!$A:$A,0),MATCH(AC165,'Domestic Mobile Operations'!$1:$1,0)),"")</f>
        <v>0.25260790722006488</v>
      </c>
      <c r="AD166" s="318">
        <f>IFERROR(INDEX('Domestic Mobile Operations'!$A:$ABB,MATCH($AA166,'Domestic Mobile Operations'!$A:$A,0),MATCH(AD165,'Domestic Mobile Operations'!$1:$1,0)),"")</f>
        <v>0.21556909895237686</v>
      </c>
      <c r="AE166" s="318">
        <f>IFERROR(INDEX('Domestic Mobile Operations'!$A:$ABB,MATCH($AA166,'Domestic Mobile Operations'!$A:$A,0),MATCH(AE165,'Domestic Mobile Operations'!$1:$1,0)),"")</f>
        <v>0.2671224905592926</v>
      </c>
      <c r="AF166" s="318">
        <f>IFERROR(INDEX('Domestic Mobile Operations'!$A:$ABB,MATCH($AA166,'Domestic Mobile Operations'!$A:$A,0),MATCH(AF165,'Domestic Mobile Operations'!$1:$1,0)),"")</f>
        <v>0.23159200458944484</v>
      </c>
      <c r="AG166" s="318">
        <f>IFERROR(INDEX('Domestic Mobile Operations'!$A:$ABB,MATCH($AA166,'Domestic Mobile Operations'!$A:$A,0),MATCH(AG165,'Domestic Mobile Operations'!$1:$1,0)),"")</f>
        <v>-5.750148509342623E-2</v>
      </c>
      <c r="AH166" s="318">
        <f>IFERROR(INDEX('Domestic Mobile Operations'!$A:$ABB,MATCH($AA166,'Domestic Mobile Operations'!$A:$A,0),MATCH(AH165,'Domestic Mobile Operations'!$1:$1,0)),"")</f>
        <v>-6.8057343807358173E-2</v>
      </c>
      <c r="AI166" s="318">
        <f>IFERROR(INDEX('Domestic Mobile Operations'!$A:$ABB,MATCH($AA166,'Domestic Mobile Operations'!$A:$A,0),MATCH(AI165,'Domestic Mobile Operations'!$1:$1,0)),"")</f>
        <v>-5.3991881861515378E-2</v>
      </c>
      <c r="AJ166" s="318">
        <f>IFERROR(INDEX('Domestic Mobile Operations'!$A:$ABB,MATCH($AA166,'Domestic Mobile Operations'!$A:$A,0),MATCH(AJ165,'Domestic Mobile Operations'!$1:$1,0)),"")</f>
        <v>-2.1502400587133264E-2</v>
      </c>
      <c r="AK166" s="318">
        <f>IFERROR(INDEX('Domestic Mobile Operations'!$A:$ABB,MATCH($AA166,'Domestic Mobile Operations'!$A:$A,0),MATCH(AK165,'Domestic Mobile Operations'!$1:$1,0)),"")</f>
        <v>0.22755089830039377</v>
      </c>
      <c r="AL166" s="318">
        <f>IFERROR(INDEX('Domestic Mobile Operations'!$A:$ABB,MATCH($AA166,'Domestic Mobile Operations'!$A:$A,0),MATCH(AL165,'Domestic Mobile Operations'!$1:$1,0)),"")</f>
        <v>0.25373487186811716</v>
      </c>
      <c r="AM166" s="318">
        <f>IFERROR(INDEX('Domestic Mobile Operations'!$A:$ABB,MATCH($AA166,'Domestic Mobile Operations'!$A:$A,0),MATCH(AM165,'Domestic Mobile Operations'!$1:$1,0)),"")</f>
        <v>0.23684393148306593</v>
      </c>
      <c r="AN166" s="318">
        <f>IFERROR(INDEX('Domestic Mobile Operations'!$A:$ABB,MATCH($AA166,'Domestic Mobile Operations'!$A:$A,0),MATCH(AN165,'Domestic Mobile Operations'!$1:$1,0)),"")</f>
        <v>0.19035337832935029</v>
      </c>
      <c r="AO166" s="318">
        <f>IFERROR(INDEX('Domestic Mobile Operations'!$A:$ABB,MATCH($AA166,'Domestic Mobile Operations'!$A:$A,0),MATCH(AO165,'Domestic Mobile Operations'!$1:$1,0)),"")</f>
        <v>8.4405920977747906E-2</v>
      </c>
      <c r="AP166" s="318">
        <f>IFERROR(INDEX('Domestic Mobile Operations'!$A:$ABB,MATCH($AA166,'Domestic Mobile Operations'!$A:$A,0),MATCH(AP165,'Domestic Mobile Operations'!$1:$1,0)),"")</f>
        <v>9.0335745232388964E-2</v>
      </c>
      <c r="AQ166" s="318">
        <f>IFERROR(INDEX('Domestic Mobile Operations'!$A:$ABB,MATCH($AA166,'Domestic Mobile Operations'!$A:$A,0),MATCH(AQ165,'Domestic Mobile Operations'!$1:$1,0)),"")</f>
        <v>6.8684498845557274E-2</v>
      </c>
      <c r="AR166" s="318">
        <f>IFERROR(INDEX('Domestic Mobile Operations'!$A:$ABB,MATCH($AA166,'Domestic Mobile Operations'!$A:$A,0),MATCH(AR165,'Domestic Mobile Operations'!$1:$1,0)),"")</f>
        <v>7.4682614273999359E-2</v>
      </c>
      <c r="AS166" s="318">
        <f>IFERROR(INDEX('Domestic Mobile Operations'!$A:$ABB,MATCH($AA166,'Domestic Mobile Operations'!$A:$A,0),MATCH(AS165,'Domestic Mobile Operations'!$1:$1,0)),"")</f>
        <v>8.0489282045592914E-2</v>
      </c>
      <c r="AT166" s="318">
        <f>IFERROR(INDEX('Domestic Mobile Operations'!$A:$ABB,MATCH($AA166,'Domestic Mobile Operations'!$A:$A,0),MATCH(AT165,'Domestic Mobile Operations'!$1:$1,0)),"")</f>
        <v>5.4150226039353155E-2</v>
      </c>
      <c r="AU166" s="318">
        <f>IFERROR(INDEX('Domestic Mobile Operations'!$A:$ABB,MATCH($AA166,'Domestic Mobile Operations'!$A:$A,0),MATCH(AU165,'Domestic Mobile Operations'!$1:$1,0)),"")</f>
        <v>0.14872987038833174</v>
      </c>
    </row>
    <row r="167" spans="1:47">
      <c r="A167" s="49"/>
      <c r="B167" s="49"/>
      <c r="C167" s="49"/>
      <c r="D167" s="49"/>
      <c r="E167" s="49"/>
      <c r="F167" s="49"/>
      <c r="G167" s="49"/>
      <c r="H167" s="49"/>
      <c r="I167" s="49"/>
      <c r="J167" s="49"/>
      <c r="K167" s="49"/>
      <c r="L167" s="49"/>
      <c r="M167" s="49"/>
      <c r="N167" s="49"/>
      <c r="O167" s="49"/>
      <c r="P167" s="49"/>
      <c r="Q167" s="49"/>
      <c r="R167" s="49"/>
      <c r="S167" s="49"/>
      <c r="T167" s="49"/>
      <c r="U167" s="49"/>
      <c r="V167" s="49"/>
      <c r="W167" s="49"/>
    </row>
    <row r="168" spans="1:47">
      <c r="A168" s="49"/>
      <c r="B168" s="49"/>
      <c r="C168" s="49"/>
      <c r="D168" s="49"/>
      <c r="E168" s="49"/>
      <c r="F168" s="49"/>
      <c r="G168" s="49"/>
      <c r="H168" s="49"/>
      <c r="I168" s="49"/>
      <c r="J168" s="49"/>
      <c r="K168" s="49"/>
      <c r="L168" s="49"/>
      <c r="M168" s="49"/>
      <c r="N168" s="49"/>
      <c r="O168" s="49"/>
      <c r="P168" s="49"/>
      <c r="Q168" s="49"/>
      <c r="R168" s="49"/>
      <c r="S168" s="49"/>
      <c r="T168" s="49"/>
      <c r="U168" s="49"/>
      <c r="V168" s="49"/>
      <c r="W168" s="49"/>
    </row>
    <row r="169" spans="1:47">
      <c r="A169" s="49"/>
      <c r="B169" s="49"/>
      <c r="C169" s="49"/>
      <c r="D169" s="49"/>
      <c r="E169" s="49"/>
      <c r="F169" s="49"/>
      <c r="G169" s="49"/>
      <c r="H169" s="49"/>
      <c r="I169" s="49"/>
      <c r="J169" s="49"/>
      <c r="K169" s="49"/>
      <c r="L169" s="49"/>
      <c r="M169" s="49"/>
      <c r="N169" s="49"/>
      <c r="O169" s="49"/>
      <c r="P169" s="49"/>
      <c r="Q169" s="49"/>
      <c r="R169" s="49"/>
      <c r="S169" s="49"/>
      <c r="T169" s="49"/>
      <c r="U169" s="49"/>
      <c r="V169" s="49"/>
      <c r="W169" s="49"/>
    </row>
    <row r="170" spans="1:47">
      <c r="A170" s="49"/>
      <c r="B170" s="49"/>
      <c r="C170" s="49"/>
      <c r="D170" s="49"/>
      <c r="E170" s="49"/>
      <c r="F170" s="49"/>
      <c r="G170" s="49"/>
      <c r="H170" s="49"/>
      <c r="I170" s="49"/>
      <c r="J170" s="49"/>
      <c r="K170" s="49"/>
      <c r="L170" s="49"/>
      <c r="M170" s="49"/>
      <c r="N170" s="49"/>
      <c r="O170" s="49"/>
      <c r="P170" s="49"/>
      <c r="Q170" s="49"/>
      <c r="R170" s="49"/>
      <c r="S170" s="49"/>
      <c r="T170" s="49"/>
      <c r="U170" s="49"/>
      <c r="V170" s="49"/>
      <c r="W170" s="49"/>
      <c r="AB170" s="303">
        <f t="shared" ref="AB170" si="229">AC170-1</f>
        <v>35</v>
      </c>
      <c r="AC170" s="303">
        <f t="shared" ref="AC170" si="230">AD170-1</f>
        <v>36</v>
      </c>
      <c r="AD170" s="303">
        <f t="shared" ref="AD170" si="231">AE170-1</f>
        <v>37</v>
      </c>
      <c r="AE170" s="303">
        <f t="shared" ref="AE170" si="232">AF170-1</f>
        <v>38</v>
      </c>
      <c r="AF170" s="303">
        <f t="shared" ref="AF170" si="233">AG170-1</f>
        <v>39</v>
      </c>
      <c r="AG170" s="303">
        <f t="shared" ref="AG170" si="234">AH170-1</f>
        <v>40</v>
      </c>
      <c r="AH170" s="303">
        <f t="shared" ref="AH170" si="235">AI170-1</f>
        <v>41</v>
      </c>
      <c r="AI170" s="303">
        <f t="shared" ref="AI170" si="236">AJ170-1</f>
        <v>42</v>
      </c>
      <c r="AJ170" s="303">
        <f t="shared" ref="AJ170" si="237">AK170-1</f>
        <v>43</v>
      </c>
      <c r="AK170" s="303">
        <f t="shared" ref="AK170" si="238">AL170-1</f>
        <v>44</v>
      </c>
      <c r="AL170" s="303">
        <f t="shared" ref="AL170" si="239">AM170-1</f>
        <v>45</v>
      </c>
      <c r="AM170" s="303">
        <f t="shared" ref="AM170" si="240">AN170-1</f>
        <v>46</v>
      </c>
      <c r="AN170" s="303">
        <f t="shared" ref="AN170" si="241">AO170-1</f>
        <v>47</v>
      </c>
      <c r="AO170" s="303">
        <f t="shared" ref="AO170" si="242">AP170-1</f>
        <v>48</v>
      </c>
      <c r="AP170" s="303">
        <f t="shared" ref="AP170" si="243">AQ170-1</f>
        <v>49</v>
      </c>
      <c r="AQ170" s="303">
        <f t="shared" ref="AQ170" si="244">AR170-1</f>
        <v>50</v>
      </c>
      <c r="AR170" s="303">
        <f t="shared" ref="AR170" si="245">AS170-1</f>
        <v>51</v>
      </c>
      <c r="AS170" s="303">
        <f t="shared" ref="AS170" si="246">AT170-1</f>
        <v>52</v>
      </c>
      <c r="AT170" s="303">
        <f t="shared" ref="AT170" si="247">AU170-1</f>
        <v>53</v>
      </c>
      <c r="AU170" s="303">
        <f>VLOOKUP(AU171,Dates!$A:$D,2,FALSE)</f>
        <v>54</v>
      </c>
    </row>
    <row r="171" spans="1:47">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AB171" s="303" t="str">
        <f>IFERROR(VLOOKUP(AB170,Dates!$B:$D,3,FALSE),"")</f>
        <v>3Q20</v>
      </c>
      <c r="AC171" s="303" t="str">
        <f>IFERROR(VLOOKUP(AC170,Dates!$B:$D,3,FALSE),"")</f>
        <v>4Q20</v>
      </c>
      <c r="AD171" s="303" t="str">
        <f>IFERROR(VLOOKUP(AD170,Dates!$B:$D,3,FALSE),"")</f>
        <v>1Q21</v>
      </c>
      <c r="AE171" s="303" t="str">
        <f>IFERROR(VLOOKUP(AE170,Dates!$B:$D,3,FALSE),"")</f>
        <v>2Q21</v>
      </c>
      <c r="AF171" s="303" t="str">
        <f>IFERROR(VLOOKUP(AF170,Dates!$B:$D,3,FALSE),"")</f>
        <v>3Q21</v>
      </c>
      <c r="AG171" s="303" t="str">
        <f>IFERROR(VLOOKUP(AG170,Dates!$B:$D,3,FALSE),"")</f>
        <v>4Q21</v>
      </c>
      <c r="AH171" s="303" t="str">
        <f>IFERROR(VLOOKUP(AH170,Dates!$B:$D,3,FALSE),"")</f>
        <v>1Q22</v>
      </c>
      <c r="AI171" s="303" t="str">
        <f>IFERROR(VLOOKUP(AI170,Dates!$B:$D,3,FALSE),"")</f>
        <v>2Q22</v>
      </c>
      <c r="AJ171" s="303" t="str">
        <f>IFERROR(VLOOKUP(AJ170,Dates!$B:$D,3,FALSE),"")</f>
        <v>3Q22</v>
      </c>
      <c r="AK171" s="303" t="str">
        <f>IFERROR(VLOOKUP(AK170,Dates!$B:$D,3,FALSE),"")</f>
        <v>4Q22</v>
      </c>
      <c r="AL171" s="303" t="str">
        <f>IFERROR(VLOOKUP(AL170,Dates!$B:$D,3,FALSE),"")</f>
        <v>1Q23</v>
      </c>
      <c r="AM171" s="303" t="str">
        <f>IFERROR(VLOOKUP(AM170,Dates!$B:$D,3,FALSE),"")</f>
        <v>2Q23</v>
      </c>
      <c r="AN171" s="303" t="str">
        <f>IFERROR(VLOOKUP(AN170,Dates!$B:$D,3,FALSE),"")</f>
        <v>3Q23</v>
      </c>
      <c r="AO171" s="303" t="str">
        <f>IFERROR(VLOOKUP(AO170,Dates!$B:$D,3,FALSE),"")</f>
        <v>4Q23</v>
      </c>
      <c r="AP171" s="303" t="str">
        <f>IFERROR(VLOOKUP(AP170,Dates!$B:$D,3,FALSE),"")</f>
        <v>1Q24</v>
      </c>
      <c r="AQ171" s="303" t="str">
        <f>IFERROR(VLOOKUP(AQ170,Dates!$B:$D,3,FALSE),"")</f>
        <v>2Q24</v>
      </c>
      <c r="AR171" s="303" t="str">
        <f>IFERROR(VLOOKUP(AR170,Dates!$B:$D,3,FALSE),"")</f>
        <v>3Q24</v>
      </c>
      <c r="AS171" s="303" t="str">
        <f>IFERROR(VLOOKUP(AS170,Dates!$B:$D,3,FALSE),"")</f>
        <v>4Q24</v>
      </c>
      <c r="AT171" s="303" t="str">
        <f>IFERROR(VLOOKUP(AT170,Dates!$B:$D,3,FALSE),"")</f>
        <v>1Q25</v>
      </c>
      <c r="AU171" s="315" t="str">
        <f>$G$3</f>
        <v>2Q25</v>
      </c>
    </row>
    <row r="172" spans="1:47">
      <c r="A172" s="49"/>
      <c r="B172" s="49"/>
      <c r="C172" s="49"/>
      <c r="D172" s="49"/>
      <c r="E172" s="49"/>
      <c r="F172" s="49"/>
      <c r="G172" s="49"/>
      <c r="H172" s="49"/>
      <c r="I172" s="49"/>
      <c r="J172" s="49"/>
      <c r="K172" s="49"/>
      <c r="L172" s="49"/>
      <c r="M172" s="49"/>
      <c r="N172" s="49"/>
      <c r="O172" s="49"/>
      <c r="P172" s="49"/>
      <c r="Q172" s="49"/>
      <c r="R172" s="49"/>
      <c r="S172" s="49"/>
      <c r="T172" s="49"/>
      <c r="U172" s="49"/>
      <c r="V172" s="49"/>
      <c r="W172" s="49"/>
      <c r="AA172" s="316" t="str">
        <f>'Domestic Mobile Operations'!A10</f>
        <v>ARPU (INR)</v>
      </c>
      <c r="AB172" s="317">
        <f>IFERROR(INDEX('Domestic Mobile Operations'!$A:$ABB,MATCH($AA172,'Domestic Mobile Operations'!$A:$A,0),MATCH(AB171,'Domestic Mobile Operations'!$1:$1,0)),"")</f>
        <v>134.85133141482592</v>
      </c>
      <c r="AC172" s="317">
        <f>IFERROR(INDEX('Domestic Mobile Operations'!$A:$ABB,MATCH($AA172,'Domestic Mobile Operations'!$A:$A,0),MATCH(AC171,'Domestic Mobile Operations'!$1:$1,0)),"")</f>
        <v>154.07077258806797</v>
      </c>
      <c r="AD172" s="317">
        <f>IFERROR(INDEX('Domestic Mobile Operations'!$A:$ABB,MATCH($AA172,'Domestic Mobile Operations'!$A:$A,0),MATCH(AD171,'Domestic Mobile Operations'!$1:$1,0)),"")</f>
        <v>156.80841376485662</v>
      </c>
      <c r="AE172" s="317">
        <f>IFERROR(INDEX('Domestic Mobile Operations'!$A:$ABB,MATCH($AA172,'Domestic Mobile Operations'!$A:$A,0),MATCH(AE171,'Domestic Mobile Operations'!$1:$1,0)),"")</f>
        <v>162.19167879158945</v>
      </c>
      <c r="AF172" s="317">
        <f>IFERROR(INDEX('Domestic Mobile Operations'!$A:$ABB,MATCH($AA172,'Domestic Mobile Operations'!$A:$A,0),MATCH(AF171,'Domestic Mobile Operations'!$1:$1,0)),"")</f>
        <v>166.08182157874103</v>
      </c>
      <c r="AG172" s="317">
        <f>IFERROR(INDEX('Domestic Mobile Operations'!$A:$ABB,MATCH($AA172,'Domestic Mobile Operations'!$A:$A,0),MATCH(AG171,'Domestic Mobile Operations'!$1:$1,0)),"")</f>
        <v>145.21147435476252</v>
      </c>
      <c r="AH172" s="317">
        <f>IFERROR(INDEX('Domestic Mobile Operations'!$A:$ABB,MATCH($AA172,'Domestic Mobile Operations'!$A:$A,0),MATCH(AH171,'Domestic Mobile Operations'!$1:$1,0)),"")</f>
        <v>146.13644963737531</v>
      </c>
      <c r="AI172" s="317">
        <f>IFERROR(INDEX('Domestic Mobile Operations'!$A:$ABB,MATCH($AA172,'Domestic Mobile Operations'!$A:$A,0),MATCH(AI171,'Domestic Mobile Operations'!$1:$1,0)),"")</f>
        <v>153.4346448313531</v>
      </c>
      <c r="AJ172" s="317">
        <f>IFERROR(INDEX('Domestic Mobile Operations'!$A:$ABB,MATCH($AA172,'Domestic Mobile Operations'!$A:$A,0),MATCH(AJ171,'Domestic Mobile Operations'!$1:$1,0)),"")</f>
        <v>162.51066372091415</v>
      </c>
      <c r="AK172" s="317">
        <f>IFERROR(INDEX('Domestic Mobile Operations'!$A:$ABB,MATCH($AA172,'Domestic Mobile Operations'!$A:$A,0),MATCH(AK171,'Domestic Mobile Operations'!$1:$1,0)),"")</f>
        <v>178.25447578771332</v>
      </c>
      <c r="AL172" s="317">
        <f>IFERROR(INDEX('Domestic Mobile Operations'!$A:$ABB,MATCH($AA172,'Domestic Mobile Operations'!$A:$A,0),MATCH(AL171,'Domestic Mobile Operations'!$1:$1,0)),"")</f>
        <v>183.21636296137629</v>
      </c>
      <c r="AM172" s="317">
        <f>IFERROR(INDEX('Domestic Mobile Operations'!$A:$ABB,MATCH($AA172,'Domestic Mobile Operations'!$A:$A,0),MATCH(AM171,'Domestic Mobile Operations'!$1:$1,0)),"")</f>
        <v>189.77470933891865</v>
      </c>
      <c r="AN172" s="317">
        <f>IFERROR(INDEX('Domestic Mobile Operations'!$A:$ABB,MATCH($AA172,'Domestic Mobile Operations'!$A:$A,0),MATCH(AN171,'Domestic Mobile Operations'!$1:$1,0)),"")</f>
        <v>193.44511757473515</v>
      </c>
      <c r="AO172" s="317">
        <f>IFERROR(INDEX('Domestic Mobile Operations'!$A:$ABB,MATCH($AA172,'Domestic Mobile Operations'!$A:$A,0),MATCH(AO171,'Domestic Mobile Operations'!$1:$1,0)),"")</f>
        <v>193.30020898498091</v>
      </c>
      <c r="AP172" s="317">
        <f>IFERROR(INDEX('Domestic Mobile Operations'!$A:$ABB,MATCH($AA172,'Domestic Mobile Operations'!$A:$A,0),MATCH(AP171,'Domestic Mobile Operations'!$1:$1,0)),"")</f>
        <v>199.76734964826008</v>
      </c>
      <c r="AQ172" s="317">
        <f>IFERROR(INDEX('Domestic Mobile Operations'!$A:$ABB,MATCH($AA172,'Domestic Mobile Operations'!$A:$A,0),MATCH(AQ171,'Domestic Mobile Operations'!$1:$1,0)),"")</f>
        <v>202.80929014342357</v>
      </c>
      <c r="AR172" s="317">
        <f>IFERROR(INDEX('Domestic Mobile Operations'!$A:$ABB,MATCH($AA172,'Domestic Mobile Operations'!$A:$A,0),MATCH(AR171,'Domestic Mobile Operations'!$1:$1,0)),"")</f>
        <v>207.89210467375753</v>
      </c>
      <c r="AS172" s="317">
        <f>IFERROR(INDEX('Domestic Mobile Operations'!$A:$ABB,MATCH($AA172,'Domestic Mobile Operations'!$A:$A,0),MATCH(AS171,'Domestic Mobile Operations'!$1:$1,0)),"")</f>
        <v>208.8588040254451</v>
      </c>
      <c r="AT172" s="317">
        <f>IFERROR(INDEX('Domestic Mobile Operations'!$A:$ABB,MATCH($AA172,'Domestic Mobile Operations'!$A:$A,0),MATCH(AT171,'Domestic Mobile Operations'!$1:$1,0)),"")</f>
        <v>210.58479678699587</v>
      </c>
      <c r="AU172" s="317">
        <f>IFERROR(INDEX('Domestic Mobile Operations'!$A:$ABB,MATCH($AA172,'Domestic Mobile Operations'!$A:$A,0),MATCH(AU171,'Domestic Mobile Operations'!$1:$1,0)),"")</f>
        <v>232.97308958000451</v>
      </c>
    </row>
    <row r="173" spans="1:47">
      <c r="A173" s="49"/>
      <c r="B173" s="49"/>
      <c r="C173" s="49"/>
      <c r="D173" s="49"/>
      <c r="E173" s="49"/>
      <c r="F173" s="49"/>
      <c r="G173" s="49"/>
      <c r="H173" s="49"/>
      <c r="I173" s="49"/>
      <c r="J173" s="49"/>
      <c r="K173" s="49"/>
      <c r="L173" s="49"/>
      <c r="M173" s="49"/>
      <c r="N173" s="49"/>
      <c r="O173" s="49"/>
      <c r="P173" s="49"/>
      <c r="Q173" s="49"/>
      <c r="R173" s="49"/>
      <c r="S173" s="49"/>
      <c r="T173" s="49"/>
      <c r="U173" s="49"/>
      <c r="V173" s="49"/>
      <c r="W173" s="49"/>
    </row>
    <row r="174" spans="1:47">
      <c r="A174" s="49"/>
      <c r="B174" s="49"/>
      <c r="C174" s="49"/>
      <c r="D174" s="49"/>
      <c r="E174" s="49"/>
      <c r="F174" s="49"/>
      <c r="G174" s="49"/>
      <c r="H174" s="49"/>
      <c r="I174" s="49"/>
      <c r="J174" s="49"/>
      <c r="K174" s="49"/>
      <c r="L174" s="49"/>
      <c r="M174" s="49"/>
      <c r="N174" s="49"/>
      <c r="O174" s="49"/>
      <c r="P174" s="49"/>
      <c r="Q174" s="49"/>
      <c r="R174" s="49"/>
      <c r="S174" s="49"/>
      <c r="T174" s="49"/>
      <c r="U174" s="49"/>
      <c r="V174" s="49"/>
      <c r="W174" s="49"/>
    </row>
    <row r="175" spans="1:47">
      <c r="A175" s="49"/>
      <c r="B175" s="49"/>
      <c r="C175" s="49"/>
      <c r="D175" s="49"/>
      <c r="E175" s="49"/>
      <c r="F175" s="49"/>
      <c r="G175" s="49"/>
      <c r="H175" s="49"/>
      <c r="I175" s="49"/>
      <c r="J175" s="49"/>
      <c r="K175" s="49"/>
      <c r="L175" s="49"/>
      <c r="M175" s="49"/>
      <c r="N175" s="49"/>
      <c r="O175" s="49"/>
      <c r="P175" s="49"/>
      <c r="Q175" s="49"/>
      <c r="R175" s="49"/>
      <c r="S175" s="49"/>
      <c r="T175" s="49"/>
      <c r="U175" s="49"/>
      <c r="V175" s="49"/>
      <c r="W175" s="49"/>
    </row>
    <row r="176" spans="1:47">
      <c r="A176" s="49"/>
      <c r="B176" s="49"/>
      <c r="C176" s="49"/>
      <c r="D176" s="49"/>
      <c r="E176" s="49"/>
      <c r="F176" s="49"/>
      <c r="G176" s="49"/>
      <c r="H176" s="49"/>
      <c r="I176" s="49"/>
      <c r="J176" s="49"/>
      <c r="K176" s="49"/>
      <c r="L176" s="49"/>
      <c r="M176" s="49"/>
      <c r="N176" s="49"/>
      <c r="O176" s="49"/>
      <c r="P176" s="49"/>
      <c r="Q176" s="49"/>
      <c r="R176" s="49"/>
      <c r="S176" s="49"/>
      <c r="T176" s="49"/>
      <c r="U176" s="49"/>
      <c r="V176" s="49"/>
      <c r="W176" s="49"/>
    </row>
    <row r="177" spans="1:47">
      <c r="A177" s="49"/>
      <c r="B177" s="49"/>
      <c r="C177" s="49"/>
      <c r="D177" s="49"/>
      <c r="E177" s="49"/>
      <c r="F177" s="49"/>
      <c r="G177" s="49"/>
      <c r="H177" s="49"/>
      <c r="I177" s="49"/>
      <c r="J177" s="49"/>
      <c r="K177" s="49"/>
      <c r="L177" s="49"/>
      <c r="M177" s="49"/>
      <c r="N177" s="49"/>
      <c r="O177" s="49"/>
      <c r="P177" s="49"/>
      <c r="Q177" s="49"/>
      <c r="R177" s="49"/>
      <c r="S177" s="49"/>
      <c r="T177" s="49"/>
      <c r="U177" s="49"/>
      <c r="V177" s="49"/>
      <c r="W177" s="49"/>
    </row>
    <row r="178" spans="1:47">
      <c r="A178" s="49"/>
      <c r="B178" s="49"/>
      <c r="C178" s="49"/>
      <c r="D178" s="49"/>
      <c r="E178" s="49"/>
      <c r="F178" s="49"/>
      <c r="G178" s="49"/>
      <c r="H178" s="49"/>
      <c r="I178" s="49"/>
      <c r="J178" s="49"/>
      <c r="K178" s="49"/>
      <c r="L178" s="49"/>
      <c r="M178" s="49"/>
      <c r="N178" s="49"/>
      <c r="O178" s="49"/>
      <c r="P178" s="49"/>
      <c r="Q178" s="49"/>
      <c r="R178" s="49"/>
      <c r="S178" s="49"/>
      <c r="T178" s="49"/>
      <c r="U178" s="49"/>
      <c r="V178" s="49"/>
      <c r="W178" s="49"/>
    </row>
    <row r="179" spans="1:47">
      <c r="A179" s="49"/>
      <c r="B179" s="49"/>
      <c r="C179" s="49"/>
      <c r="D179" s="49"/>
      <c r="E179" s="49"/>
      <c r="F179" s="49"/>
      <c r="G179" s="49"/>
      <c r="H179" s="49"/>
      <c r="I179" s="49"/>
      <c r="J179" s="49"/>
      <c r="K179" s="49"/>
      <c r="L179" s="49"/>
      <c r="M179" s="49"/>
      <c r="N179" s="49"/>
      <c r="O179" s="49"/>
      <c r="P179" s="49"/>
      <c r="Q179" s="49"/>
      <c r="R179" s="49"/>
      <c r="S179" s="49"/>
      <c r="T179" s="49"/>
      <c r="U179" s="49"/>
      <c r="V179" s="49"/>
      <c r="W179" s="49"/>
    </row>
    <row r="180" spans="1:47">
      <c r="A180" s="1" t="s">
        <v>451</v>
      </c>
      <c r="B180" s="1" t="s">
        <v>473</v>
      </c>
      <c r="C180" s="1"/>
      <c r="D180" s="1"/>
      <c r="E180" s="1"/>
      <c r="F180" s="1"/>
      <c r="G180" s="1"/>
      <c r="H180" s="1"/>
      <c r="I180" s="1"/>
      <c r="J180" s="1"/>
      <c r="K180" s="1" t="s">
        <v>452</v>
      </c>
      <c r="L180" s="1" t="s">
        <v>512</v>
      </c>
      <c r="M180" s="1"/>
      <c r="N180" s="1"/>
      <c r="O180" s="1"/>
      <c r="P180" s="1"/>
      <c r="Q180" s="1"/>
      <c r="R180" s="1"/>
      <c r="S180" s="1"/>
      <c r="T180" s="1"/>
      <c r="U180" s="49"/>
      <c r="V180" s="49"/>
      <c r="W180" s="49"/>
    </row>
    <row r="181" spans="1:47">
      <c r="A181" s="49"/>
      <c r="B181" s="49"/>
      <c r="C181" s="49"/>
      <c r="D181" s="49"/>
      <c r="E181" s="49"/>
      <c r="F181" s="49"/>
      <c r="G181" s="49"/>
      <c r="H181" s="49"/>
      <c r="I181" s="49"/>
      <c r="J181" s="49"/>
      <c r="K181" s="49"/>
      <c r="L181" s="49"/>
      <c r="M181" s="49"/>
      <c r="N181" s="49"/>
      <c r="O181" s="49"/>
      <c r="P181" s="49"/>
      <c r="Q181" s="49"/>
      <c r="R181" s="49"/>
      <c r="S181" s="49"/>
      <c r="T181" s="49"/>
      <c r="U181" s="49"/>
      <c r="V181" s="49"/>
      <c r="W181" s="49"/>
    </row>
    <row r="182" spans="1:47">
      <c r="A182" s="49"/>
      <c r="B182" s="49"/>
      <c r="C182" s="49"/>
      <c r="D182" s="49"/>
      <c r="E182" s="49"/>
      <c r="F182" s="49"/>
      <c r="G182" s="49"/>
      <c r="H182" s="49"/>
      <c r="I182" s="49"/>
      <c r="J182" s="49"/>
      <c r="K182" s="49"/>
      <c r="L182" s="49"/>
      <c r="M182" s="49"/>
      <c r="N182" s="49"/>
      <c r="O182" s="49"/>
      <c r="P182" s="49"/>
      <c r="Q182" s="49"/>
      <c r="R182" s="49"/>
      <c r="S182" s="49"/>
      <c r="T182" s="49"/>
      <c r="U182" s="49"/>
      <c r="V182" s="49"/>
      <c r="W182" s="49"/>
    </row>
    <row r="183" spans="1:47">
      <c r="A183" s="49"/>
      <c r="B183" s="49"/>
      <c r="C183" s="49"/>
      <c r="D183" s="49"/>
      <c r="E183" s="49"/>
      <c r="F183" s="49"/>
      <c r="G183" s="49"/>
      <c r="H183" s="49"/>
      <c r="I183" s="49"/>
      <c r="J183" s="49"/>
      <c r="K183" s="49"/>
      <c r="L183" s="49"/>
      <c r="M183" s="49"/>
      <c r="N183" s="49"/>
      <c r="O183" s="49"/>
      <c r="P183" s="49"/>
      <c r="Q183" s="49"/>
      <c r="R183" s="49"/>
      <c r="S183" s="49"/>
      <c r="T183" s="49"/>
      <c r="U183" s="49"/>
      <c r="V183" s="49"/>
      <c r="W183" s="49"/>
    </row>
    <row r="184" spans="1:47">
      <c r="A184" s="49"/>
      <c r="B184" s="49"/>
      <c r="C184" s="49"/>
      <c r="D184" s="49"/>
      <c r="E184" s="49"/>
      <c r="F184" s="49"/>
      <c r="G184" s="49"/>
      <c r="H184" s="49"/>
      <c r="I184" s="49"/>
      <c r="J184" s="49"/>
      <c r="K184" s="49"/>
      <c r="L184" s="49"/>
      <c r="M184" s="49"/>
      <c r="N184" s="49"/>
      <c r="O184" s="49"/>
      <c r="P184" s="49"/>
      <c r="Q184" s="49"/>
      <c r="R184" s="49"/>
      <c r="S184" s="49"/>
      <c r="T184" s="49"/>
      <c r="U184" s="49"/>
      <c r="V184" s="49"/>
      <c r="W184" s="49"/>
      <c r="AB184" s="303">
        <f t="shared" ref="AB184" si="248">AC184-1</f>
        <v>35</v>
      </c>
      <c r="AC184" s="303">
        <f t="shared" ref="AC184" si="249">AD184-1</f>
        <v>36</v>
      </c>
      <c r="AD184" s="303">
        <f t="shared" ref="AD184" si="250">AE184-1</f>
        <v>37</v>
      </c>
      <c r="AE184" s="303">
        <f t="shared" ref="AE184" si="251">AF184-1</f>
        <v>38</v>
      </c>
      <c r="AF184" s="303">
        <f t="shared" ref="AF184" si="252">AG184-1</f>
        <v>39</v>
      </c>
      <c r="AG184" s="303">
        <f t="shared" ref="AG184" si="253">AH184-1</f>
        <v>40</v>
      </c>
      <c r="AH184" s="303">
        <f t="shared" ref="AH184" si="254">AI184-1</f>
        <v>41</v>
      </c>
      <c r="AI184" s="303">
        <f t="shared" ref="AI184" si="255">AJ184-1</f>
        <v>42</v>
      </c>
      <c r="AJ184" s="303">
        <f t="shared" ref="AJ184" si="256">AK184-1</f>
        <v>43</v>
      </c>
      <c r="AK184" s="303">
        <f t="shared" ref="AK184" si="257">AL184-1</f>
        <v>44</v>
      </c>
      <c r="AL184" s="303">
        <f t="shared" ref="AL184" si="258">AM184-1</f>
        <v>45</v>
      </c>
      <c r="AM184" s="303">
        <f t="shared" ref="AM184" si="259">AN184-1</f>
        <v>46</v>
      </c>
      <c r="AN184" s="303">
        <f t="shared" ref="AN184" si="260">AO184-1</f>
        <v>47</v>
      </c>
      <c r="AO184" s="303">
        <f t="shared" ref="AO184" si="261">AP184-1</f>
        <v>48</v>
      </c>
      <c r="AP184" s="303">
        <f t="shared" ref="AP184" si="262">AQ184-1</f>
        <v>49</v>
      </c>
      <c r="AQ184" s="303">
        <f t="shared" ref="AQ184" si="263">AR184-1</f>
        <v>50</v>
      </c>
      <c r="AR184" s="303">
        <f t="shared" ref="AR184" si="264">AS184-1</f>
        <v>51</v>
      </c>
      <c r="AS184" s="303">
        <f t="shared" ref="AS184" si="265">AT184-1</f>
        <v>52</v>
      </c>
      <c r="AT184" s="303">
        <f t="shared" ref="AT184" si="266">AU184-1</f>
        <v>53</v>
      </c>
      <c r="AU184" s="303">
        <f>VLOOKUP(AU185,Dates!$A:$D,2,FALSE)</f>
        <v>54</v>
      </c>
    </row>
    <row r="185" spans="1:47">
      <c r="A185" s="49"/>
      <c r="B185" s="49"/>
      <c r="C185" s="49"/>
      <c r="D185" s="49"/>
      <c r="E185" s="49"/>
      <c r="F185" s="49"/>
      <c r="G185" s="49"/>
      <c r="H185" s="49"/>
      <c r="I185" s="49"/>
      <c r="J185" s="49"/>
      <c r="K185" s="49"/>
      <c r="L185" s="49"/>
      <c r="M185" s="49"/>
      <c r="N185" s="49"/>
      <c r="O185" s="49"/>
      <c r="P185" s="49"/>
      <c r="Q185" s="49"/>
      <c r="R185" s="49"/>
      <c r="S185" s="49"/>
      <c r="T185" s="49"/>
      <c r="U185" s="49"/>
      <c r="V185" s="49"/>
      <c r="W185" s="49"/>
      <c r="AB185" s="303" t="str">
        <f>IFERROR(VLOOKUP(AB184,Dates!$B:$D,3,FALSE),"")</f>
        <v>3Q20</v>
      </c>
      <c r="AC185" s="303" t="str">
        <f>IFERROR(VLOOKUP(AC184,Dates!$B:$D,3,FALSE),"")</f>
        <v>4Q20</v>
      </c>
      <c r="AD185" s="303" t="str">
        <f>IFERROR(VLOOKUP(AD184,Dates!$B:$D,3,FALSE),"")</f>
        <v>1Q21</v>
      </c>
      <c r="AE185" s="303" t="str">
        <f>IFERROR(VLOOKUP(AE184,Dates!$B:$D,3,FALSE),"")</f>
        <v>2Q21</v>
      </c>
      <c r="AF185" s="303" t="str">
        <f>IFERROR(VLOOKUP(AF184,Dates!$B:$D,3,FALSE),"")</f>
        <v>3Q21</v>
      </c>
      <c r="AG185" s="303" t="str">
        <f>IFERROR(VLOOKUP(AG184,Dates!$B:$D,3,FALSE),"")</f>
        <v>4Q21</v>
      </c>
      <c r="AH185" s="303" t="str">
        <f>IFERROR(VLOOKUP(AH184,Dates!$B:$D,3,FALSE),"")</f>
        <v>1Q22</v>
      </c>
      <c r="AI185" s="303" t="str">
        <f>IFERROR(VLOOKUP(AI184,Dates!$B:$D,3,FALSE),"")</f>
        <v>2Q22</v>
      </c>
      <c r="AJ185" s="303" t="str">
        <f>IFERROR(VLOOKUP(AJ184,Dates!$B:$D,3,FALSE),"")</f>
        <v>3Q22</v>
      </c>
      <c r="AK185" s="303" t="str">
        <f>IFERROR(VLOOKUP(AK184,Dates!$B:$D,3,FALSE),"")</f>
        <v>4Q22</v>
      </c>
      <c r="AL185" s="303" t="str">
        <f>IFERROR(VLOOKUP(AL184,Dates!$B:$D,3,FALSE),"")</f>
        <v>1Q23</v>
      </c>
      <c r="AM185" s="303" t="str">
        <f>IFERROR(VLOOKUP(AM184,Dates!$B:$D,3,FALSE),"")</f>
        <v>2Q23</v>
      </c>
      <c r="AN185" s="303" t="str">
        <f>IFERROR(VLOOKUP(AN184,Dates!$B:$D,3,FALSE),"")</f>
        <v>3Q23</v>
      </c>
      <c r="AO185" s="303" t="str">
        <f>IFERROR(VLOOKUP(AO184,Dates!$B:$D,3,FALSE),"")</f>
        <v>4Q23</v>
      </c>
      <c r="AP185" s="303" t="str">
        <f>IFERROR(VLOOKUP(AP184,Dates!$B:$D,3,FALSE),"")</f>
        <v>1Q24</v>
      </c>
      <c r="AQ185" s="303" t="str">
        <f>IFERROR(VLOOKUP(AQ184,Dates!$B:$D,3,FALSE),"")</f>
        <v>2Q24</v>
      </c>
      <c r="AR185" s="303" t="str">
        <f>IFERROR(VLOOKUP(AR184,Dates!$B:$D,3,FALSE),"")</f>
        <v>3Q24</v>
      </c>
      <c r="AS185" s="303" t="str">
        <f>IFERROR(VLOOKUP(AS184,Dates!$B:$D,3,FALSE),"")</f>
        <v>4Q24</v>
      </c>
      <c r="AT185" s="303" t="str">
        <f>IFERROR(VLOOKUP(AT184,Dates!$B:$D,3,FALSE),"")</f>
        <v>1Q25</v>
      </c>
      <c r="AU185" s="315" t="str">
        <f>$G$3</f>
        <v>2Q25</v>
      </c>
    </row>
    <row r="186" spans="1:47">
      <c r="A186" s="49"/>
      <c r="B186" s="49"/>
      <c r="C186" s="49"/>
      <c r="D186" s="49"/>
      <c r="E186" s="49"/>
      <c r="F186" s="49"/>
      <c r="G186" s="49"/>
      <c r="H186" s="49"/>
      <c r="I186" s="49"/>
      <c r="J186" s="49"/>
      <c r="K186" s="49"/>
      <c r="L186" s="49"/>
      <c r="M186" s="49"/>
      <c r="N186" s="49"/>
      <c r="O186" s="49"/>
      <c r="P186" s="49"/>
      <c r="Q186" s="49"/>
      <c r="R186" s="49"/>
      <c r="S186" s="49"/>
      <c r="T186" s="49"/>
      <c r="U186" s="49"/>
      <c r="V186" s="49"/>
      <c r="W186" s="49"/>
      <c r="AA186" s="316" t="str">
        <f>'Domestic Mobile Operations'!A73</f>
        <v>Total Traffic Growth</v>
      </c>
      <c r="AB186" s="318">
        <f>IFERROR(INDEX('Domestic Mobile Operations'!$A:$ABB,MATCH($AA186,'Domestic Mobile Operations'!$A:$A,0),MATCH(AB185,'Domestic Mobile Operations'!$1:$1,0)),"")</f>
        <v>7.9694297277874915E-2</v>
      </c>
      <c r="AC186" s="318">
        <f>IFERROR(INDEX('Domestic Mobile Operations'!$A:$ABB,MATCH($AA186,'Domestic Mobile Operations'!$A:$A,0),MATCH(AC185,'Domestic Mobile Operations'!$1:$1,0)),"")</f>
        <v>0.12406257453186398</v>
      </c>
      <c r="AD186" s="318">
        <f>IFERROR(INDEX('Domestic Mobile Operations'!$A:$ABB,MATCH($AA186,'Domestic Mobile Operations'!$A:$A,0),MATCH(AD185,'Domestic Mobile Operations'!$1:$1,0)),"")</f>
        <v>0.11278889994460295</v>
      </c>
      <c r="AE186" s="318">
        <f>IFERROR(INDEX('Domestic Mobile Operations'!$A:$ABB,MATCH($AA186,'Domestic Mobile Operations'!$A:$A,0),MATCH(AE185,'Domestic Mobile Operations'!$1:$1,0)),"")</f>
        <v>0.20123297266975704</v>
      </c>
      <c r="AF186" s="318">
        <f>IFERROR(INDEX('Domestic Mobile Operations'!$A:$ABB,MATCH($AA186,'Domestic Mobile Operations'!$A:$A,0),MATCH(AF185,'Domestic Mobile Operations'!$1:$1,0)),"")</f>
        <v>0.21875758966885206</v>
      </c>
      <c r="AG186" s="318">
        <f>IFERROR(INDEX('Domestic Mobile Operations'!$A:$ABB,MATCH($AA186,'Domestic Mobile Operations'!$A:$A,0),MATCH(AG185,'Domestic Mobile Operations'!$1:$1,0)),"")</f>
        <v>0.21279129770628846</v>
      </c>
      <c r="AH186" s="318">
        <f>IFERROR(INDEX('Domestic Mobile Operations'!$A:$ABB,MATCH($AA186,'Domestic Mobile Operations'!$A:$A,0),MATCH(AH185,'Domestic Mobile Operations'!$1:$1,0)),"")</f>
        <v>0.22190556375147685</v>
      </c>
      <c r="AI186" s="318">
        <f>IFERROR(INDEX('Domestic Mobile Operations'!$A:$ABB,MATCH($AA186,'Domestic Mobile Operations'!$A:$A,0),MATCH(AI185,'Domestic Mobile Operations'!$1:$1,0)),"")</f>
        <v>0.1853515465885156</v>
      </c>
      <c r="AJ186" s="318">
        <f>IFERROR(INDEX('Domestic Mobile Operations'!$A:$ABB,MATCH($AA186,'Domestic Mobile Operations'!$A:$A,0),MATCH(AJ185,'Domestic Mobile Operations'!$1:$1,0)),"")</f>
        <v>0.11340673497305165</v>
      </c>
      <c r="AK186" s="318">
        <f>IFERROR(INDEX('Domestic Mobile Operations'!$A:$ABB,MATCH($AA186,'Domestic Mobile Operations'!$A:$A,0),MATCH(AK185,'Domestic Mobile Operations'!$1:$1,0)),"")</f>
        <v>5.4497343313948399E-2</v>
      </c>
      <c r="AL186" s="318">
        <f>IFERROR(INDEX('Domestic Mobile Operations'!$A:$ABB,MATCH($AA186,'Domestic Mobile Operations'!$A:$A,0),MATCH(AL185,'Domestic Mobile Operations'!$1:$1,0)),"")</f>
        <v>7.6524208700392338E-2</v>
      </c>
      <c r="AM186" s="318">
        <f>IFERROR(INDEX('Domestic Mobile Operations'!$A:$ABB,MATCH($AA186,'Domestic Mobile Operations'!$A:$A,0),MATCH(AM185,'Domestic Mobile Operations'!$1:$1,0)),"")</f>
        <v>4.1743773528571282E-2</v>
      </c>
      <c r="AN186" s="318">
        <f>IFERROR(INDEX('Domestic Mobile Operations'!$A:$ABB,MATCH($AA186,'Domestic Mobile Operations'!$A:$A,0),MATCH(AN185,'Domestic Mobile Operations'!$1:$1,0)),"")</f>
        <v>5.0638434947916533E-2</v>
      </c>
      <c r="AO186" s="318">
        <f>IFERROR(INDEX('Domestic Mobile Operations'!$A:$ABB,MATCH($AA186,'Domestic Mobile Operations'!$A:$A,0),MATCH(AO185,'Domestic Mobile Operations'!$1:$1,0)),"")</f>
        <v>6.96663661102499E-2</v>
      </c>
      <c r="AP186" s="318">
        <f>IFERROR(INDEX('Domestic Mobile Operations'!$A:$ABB,MATCH($AA186,'Domestic Mobile Operations'!$A:$A,0),MATCH(AP185,'Domestic Mobile Operations'!$1:$1,0)),"")</f>
        <v>6.4721423306039139E-2</v>
      </c>
      <c r="AQ186" s="318">
        <f>IFERROR(INDEX('Domestic Mobile Operations'!$A:$ABB,MATCH($AA186,'Domestic Mobile Operations'!$A:$A,0),MATCH(AQ185,'Domestic Mobile Operations'!$1:$1,0)),"")</f>
        <v>7.9681874071258152E-2</v>
      </c>
      <c r="AR186" s="318">
        <f>IFERROR(INDEX('Domestic Mobile Operations'!$A:$ABB,MATCH($AA186,'Domestic Mobile Operations'!$A:$A,0),MATCH(AR185,'Domestic Mobile Operations'!$1:$1,0)),"")</f>
        <v>7.289682838198952E-2</v>
      </c>
      <c r="AS186" s="318">
        <f>IFERROR(INDEX('Domestic Mobile Operations'!$A:$ABB,MATCH($AA186,'Domestic Mobile Operations'!$A:$A,0),MATCH(AS185,'Domestic Mobile Operations'!$1:$1,0)),"")</f>
        <v>7.5795906825530945E-2</v>
      </c>
      <c r="AT186" s="318">
        <f>IFERROR(INDEX('Domestic Mobile Operations'!$A:$ABB,MATCH($AA186,'Domestic Mobile Operations'!$A:$A,0),MATCH(AT185,'Domestic Mobile Operations'!$1:$1,0)),"")</f>
        <v>4.0291991350281497E-2</v>
      </c>
      <c r="AU186" s="318">
        <f>IFERROR(INDEX('Domestic Mobile Operations'!$A:$ABB,MATCH($AA186,'Domestic Mobile Operations'!$A:$A,0),MATCH(AU185,'Domestic Mobile Operations'!$1:$1,0)),"")</f>
        <v>4.5378335444719031E-2</v>
      </c>
    </row>
    <row r="187" spans="1:47">
      <c r="A187" s="49"/>
      <c r="B187" s="49"/>
      <c r="C187" s="49"/>
      <c r="D187" s="49"/>
      <c r="E187" s="49"/>
      <c r="F187" s="49"/>
      <c r="G187" s="49"/>
      <c r="H187" s="49"/>
      <c r="I187" s="49"/>
      <c r="J187" s="49"/>
      <c r="K187" s="49"/>
      <c r="L187" s="49"/>
      <c r="M187" s="49"/>
      <c r="N187" s="49"/>
      <c r="O187" s="49"/>
      <c r="P187" s="49"/>
      <c r="Q187" s="49"/>
      <c r="R187" s="49"/>
      <c r="S187" s="49"/>
      <c r="T187" s="49"/>
      <c r="U187" s="49"/>
      <c r="V187" s="49"/>
      <c r="W187" s="49"/>
    </row>
    <row r="188" spans="1:47">
      <c r="A188" s="49"/>
      <c r="B188" s="49"/>
      <c r="C188" s="49"/>
      <c r="D188" s="49"/>
      <c r="E188" s="49"/>
      <c r="F188" s="49"/>
      <c r="G188" s="49"/>
      <c r="H188" s="49"/>
      <c r="I188" s="49"/>
      <c r="J188" s="49"/>
      <c r="K188" s="49"/>
      <c r="L188" s="49"/>
      <c r="M188" s="49"/>
      <c r="N188" s="49"/>
      <c r="O188" s="49"/>
      <c r="P188" s="49"/>
      <c r="Q188" s="49"/>
      <c r="R188" s="49"/>
      <c r="S188" s="49"/>
      <c r="T188" s="49"/>
      <c r="U188" s="49"/>
      <c r="V188" s="49"/>
      <c r="W188" s="49"/>
    </row>
    <row r="189" spans="1:47">
      <c r="A189" s="49"/>
      <c r="B189" s="49"/>
      <c r="C189" s="49"/>
      <c r="D189" s="49"/>
      <c r="E189" s="49"/>
      <c r="F189" s="49"/>
      <c r="G189" s="49"/>
      <c r="H189" s="49"/>
      <c r="I189" s="49"/>
      <c r="J189" s="49"/>
      <c r="K189" s="49"/>
      <c r="L189" s="49"/>
      <c r="M189" s="49"/>
      <c r="N189" s="49"/>
      <c r="O189" s="49"/>
      <c r="P189" s="49"/>
      <c r="Q189" s="49"/>
      <c r="R189" s="49"/>
      <c r="S189" s="49"/>
      <c r="T189" s="49"/>
      <c r="U189" s="49"/>
      <c r="V189" s="49"/>
      <c r="W189" s="49"/>
    </row>
    <row r="190" spans="1:47">
      <c r="A190" s="49"/>
      <c r="B190" s="49"/>
      <c r="C190" s="49"/>
      <c r="D190" s="49"/>
      <c r="E190" s="49"/>
      <c r="F190" s="49"/>
      <c r="G190" s="49"/>
      <c r="H190" s="49"/>
      <c r="I190" s="49"/>
      <c r="J190" s="49"/>
      <c r="K190" s="49"/>
      <c r="L190" s="49"/>
      <c r="M190" s="49"/>
      <c r="N190" s="49"/>
      <c r="O190" s="49"/>
      <c r="P190" s="49"/>
      <c r="Q190" s="49"/>
      <c r="R190" s="49"/>
      <c r="S190" s="49"/>
      <c r="T190" s="49"/>
      <c r="U190" s="49"/>
      <c r="V190" s="49"/>
      <c r="W190" s="49"/>
      <c r="AB190" s="303">
        <f t="shared" ref="AB190" si="267">AC190-1</f>
        <v>35</v>
      </c>
      <c r="AC190" s="303">
        <f t="shared" ref="AC190" si="268">AD190-1</f>
        <v>36</v>
      </c>
      <c r="AD190" s="303">
        <f t="shared" ref="AD190" si="269">AE190-1</f>
        <v>37</v>
      </c>
      <c r="AE190" s="303">
        <f t="shared" ref="AE190" si="270">AF190-1</f>
        <v>38</v>
      </c>
      <c r="AF190" s="303">
        <f t="shared" ref="AF190" si="271">AG190-1</f>
        <v>39</v>
      </c>
      <c r="AG190" s="303">
        <f t="shared" ref="AG190" si="272">AH190-1</f>
        <v>40</v>
      </c>
      <c r="AH190" s="303">
        <f t="shared" ref="AH190" si="273">AI190-1</f>
        <v>41</v>
      </c>
      <c r="AI190" s="303">
        <f t="shared" ref="AI190" si="274">AJ190-1</f>
        <v>42</v>
      </c>
      <c r="AJ190" s="303">
        <f t="shared" ref="AJ190" si="275">AK190-1</f>
        <v>43</v>
      </c>
      <c r="AK190" s="303">
        <f t="shared" ref="AK190" si="276">AL190-1</f>
        <v>44</v>
      </c>
      <c r="AL190" s="303">
        <f t="shared" ref="AL190" si="277">AM190-1</f>
        <v>45</v>
      </c>
      <c r="AM190" s="303">
        <f t="shared" ref="AM190" si="278">AN190-1</f>
        <v>46</v>
      </c>
      <c r="AN190" s="303">
        <f t="shared" ref="AN190" si="279">AO190-1</f>
        <v>47</v>
      </c>
      <c r="AO190" s="303">
        <f t="shared" ref="AO190" si="280">AP190-1</f>
        <v>48</v>
      </c>
      <c r="AP190" s="303">
        <f t="shared" ref="AP190" si="281">AQ190-1</f>
        <v>49</v>
      </c>
      <c r="AQ190" s="303">
        <f t="shared" ref="AQ190" si="282">AR190-1</f>
        <v>50</v>
      </c>
      <c r="AR190" s="303">
        <f t="shared" ref="AR190" si="283">AS190-1</f>
        <v>51</v>
      </c>
      <c r="AS190" s="303">
        <f t="shared" ref="AS190" si="284">AT190-1</f>
        <v>52</v>
      </c>
      <c r="AT190" s="303">
        <f t="shared" ref="AT190" si="285">AU190-1</f>
        <v>53</v>
      </c>
      <c r="AU190" s="303">
        <f>VLOOKUP(AU191,Dates!$A:$D,2,FALSE)</f>
        <v>54</v>
      </c>
    </row>
    <row r="191" spans="1:47">
      <c r="A191" s="49"/>
      <c r="B191" s="49"/>
      <c r="C191" s="49"/>
      <c r="D191" s="49"/>
      <c r="E191" s="49"/>
      <c r="F191" s="49"/>
      <c r="G191" s="49"/>
      <c r="H191" s="49"/>
      <c r="I191" s="49"/>
      <c r="J191" s="49"/>
      <c r="K191" s="49"/>
      <c r="L191" s="49"/>
      <c r="M191" s="49"/>
      <c r="N191" s="49"/>
      <c r="O191" s="49"/>
      <c r="P191" s="49"/>
      <c r="Q191" s="49"/>
      <c r="R191" s="49"/>
      <c r="S191" s="49"/>
      <c r="T191" s="49"/>
      <c r="U191" s="49"/>
      <c r="V191" s="49"/>
      <c r="W191" s="49"/>
      <c r="AB191" s="303" t="str">
        <f>IFERROR(VLOOKUP(AB190,Dates!$B:$D,3,FALSE),"")</f>
        <v>3Q20</v>
      </c>
      <c r="AC191" s="303" t="str">
        <f>IFERROR(VLOOKUP(AC190,Dates!$B:$D,3,FALSE),"")</f>
        <v>4Q20</v>
      </c>
      <c r="AD191" s="303" t="str">
        <f>IFERROR(VLOOKUP(AD190,Dates!$B:$D,3,FALSE),"")</f>
        <v>1Q21</v>
      </c>
      <c r="AE191" s="303" t="str">
        <f>IFERROR(VLOOKUP(AE190,Dates!$B:$D,3,FALSE),"")</f>
        <v>2Q21</v>
      </c>
      <c r="AF191" s="303" t="str">
        <f>IFERROR(VLOOKUP(AF190,Dates!$B:$D,3,FALSE),"")</f>
        <v>3Q21</v>
      </c>
      <c r="AG191" s="303" t="str">
        <f>IFERROR(VLOOKUP(AG190,Dates!$B:$D,3,FALSE),"")</f>
        <v>4Q21</v>
      </c>
      <c r="AH191" s="303" t="str">
        <f>IFERROR(VLOOKUP(AH190,Dates!$B:$D,3,FALSE),"")</f>
        <v>1Q22</v>
      </c>
      <c r="AI191" s="303" t="str">
        <f>IFERROR(VLOOKUP(AI190,Dates!$B:$D,3,FALSE),"")</f>
        <v>2Q22</v>
      </c>
      <c r="AJ191" s="303" t="str">
        <f>IFERROR(VLOOKUP(AJ190,Dates!$B:$D,3,FALSE),"")</f>
        <v>3Q22</v>
      </c>
      <c r="AK191" s="303" t="str">
        <f>IFERROR(VLOOKUP(AK190,Dates!$B:$D,3,FALSE),"")</f>
        <v>4Q22</v>
      </c>
      <c r="AL191" s="303" t="str">
        <f>IFERROR(VLOOKUP(AL190,Dates!$B:$D,3,FALSE),"")</f>
        <v>1Q23</v>
      </c>
      <c r="AM191" s="303" t="str">
        <f>IFERROR(VLOOKUP(AM190,Dates!$B:$D,3,FALSE),"")</f>
        <v>2Q23</v>
      </c>
      <c r="AN191" s="303" t="str">
        <f>IFERROR(VLOOKUP(AN190,Dates!$B:$D,3,FALSE),"")</f>
        <v>3Q23</v>
      </c>
      <c r="AO191" s="303" t="str">
        <f>IFERROR(VLOOKUP(AO190,Dates!$B:$D,3,FALSE),"")</f>
        <v>4Q23</v>
      </c>
      <c r="AP191" s="303" t="str">
        <f>IFERROR(VLOOKUP(AP190,Dates!$B:$D,3,FALSE),"")</f>
        <v>1Q24</v>
      </c>
      <c r="AQ191" s="303" t="str">
        <f>IFERROR(VLOOKUP(AQ190,Dates!$B:$D,3,FALSE),"")</f>
        <v>2Q24</v>
      </c>
      <c r="AR191" s="303" t="str">
        <f>IFERROR(VLOOKUP(AR190,Dates!$B:$D,3,FALSE),"")</f>
        <v>3Q24</v>
      </c>
      <c r="AS191" s="303" t="str">
        <f>IFERROR(VLOOKUP(AS190,Dates!$B:$D,3,FALSE),"")</f>
        <v>4Q24</v>
      </c>
      <c r="AT191" s="303" t="str">
        <f>IFERROR(VLOOKUP(AT190,Dates!$B:$D,3,FALSE),"")</f>
        <v>1Q25</v>
      </c>
      <c r="AU191" s="315" t="str">
        <f>$G$3</f>
        <v>2Q25</v>
      </c>
    </row>
    <row r="192" spans="1:47">
      <c r="A192" s="49"/>
      <c r="B192" s="49"/>
      <c r="C192" s="49"/>
      <c r="D192" s="49"/>
      <c r="E192" s="49"/>
      <c r="F192" s="49"/>
      <c r="G192" s="49"/>
      <c r="H192" s="49"/>
      <c r="I192" s="49"/>
      <c r="J192" s="49"/>
      <c r="K192" s="49"/>
      <c r="L192" s="49"/>
      <c r="M192" s="49"/>
      <c r="N192" s="49"/>
      <c r="O192" s="49"/>
      <c r="P192" s="49"/>
      <c r="Q192" s="49"/>
      <c r="R192" s="49"/>
      <c r="S192" s="49"/>
      <c r="T192" s="49"/>
      <c r="U192" s="49"/>
      <c r="V192" s="49"/>
      <c r="W192" s="49"/>
      <c r="AA192" s="316" t="str">
        <f>'Domestic Mobile Operations'!A24</f>
        <v>Voice - MoU</v>
      </c>
      <c r="AB192" s="317">
        <f>IFERROR(INDEX('Domestic Mobile Operations'!$A:$ABB,MATCH($AA192,'Domestic Mobile Operations'!$A:$A,0),MATCH(AB191,'Domestic Mobile Operations'!$1:$1,0)),"")</f>
        <v>897.94506290037737</v>
      </c>
      <c r="AC192" s="317">
        <f>IFERROR(INDEX('Domestic Mobile Operations'!$A:$ABB,MATCH($AA192,'Domestic Mobile Operations'!$A:$A,0),MATCH(AC191,'Domestic Mobile Operations'!$1:$1,0)),"")</f>
        <v>965.01020928593778</v>
      </c>
      <c r="AD192" s="317">
        <f>IFERROR(INDEX('Domestic Mobile Operations'!$A:$ABB,MATCH($AA192,'Domestic Mobile Operations'!$A:$A,0),MATCH(AD191,'Domestic Mobile Operations'!$1:$1,0)),"")</f>
        <v>993.71886208542912</v>
      </c>
      <c r="AE192" s="317">
        <f>IFERROR(INDEX('Domestic Mobile Operations'!$A:$ABB,MATCH($AA192,'Domestic Mobile Operations'!$A:$A,0),MATCH(AE191,'Domestic Mobile Operations'!$1:$1,0)),"")</f>
        <v>1005</v>
      </c>
      <c r="AF192" s="317">
        <f>IFERROR(INDEX('Domestic Mobile Operations'!$A:$ABB,MATCH($AA192,'Domestic Mobile Operations'!$A:$A,0),MATCH(AF191,'Domestic Mobile Operations'!$1:$1,0)),"")</f>
        <v>1027</v>
      </c>
      <c r="AG192" s="317">
        <f>IFERROR(INDEX('Domestic Mobile Operations'!$A:$ABB,MATCH($AA192,'Domestic Mobile Operations'!$A:$A,0),MATCH(AG191,'Domestic Mobile Operations'!$1:$1,0)),"")</f>
        <v>1052.7979559041944</v>
      </c>
      <c r="AH192" s="317">
        <f>IFERROR(INDEX('Domestic Mobile Operations'!$A:$ABB,MATCH($AA192,'Domestic Mobile Operations'!$A:$A,0),MATCH(AH191,'Domestic Mobile Operations'!$1:$1,0)),"")</f>
        <v>1043.9879869451122</v>
      </c>
      <c r="AI192" s="317">
        <f>IFERROR(INDEX('Domestic Mobile Operations'!$A:$ABB,MATCH($AA192,'Domestic Mobile Operations'!$A:$A,0),MATCH(AI191,'Domestic Mobile Operations'!$1:$1,0)),"")</f>
        <v>1052.8949213927979</v>
      </c>
      <c r="AJ192" s="317">
        <f>IFERROR(INDEX('Domestic Mobile Operations'!$A:$ABB,MATCH($AA192,'Domestic Mobile Operations'!$A:$A,0),MATCH(AJ191,'Domestic Mobile Operations'!$1:$1,0)),"")</f>
        <v>1060.6729294535237</v>
      </c>
      <c r="AK192" s="317">
        <f>IFERROR(INDEX('Domestic Mobile Operations'!$A:$ABB,MATCH($AA192,'Domestic Mobile Operations'!$A:$A,0),MATCH(AK191,'Domestic Mobile Operations'!$1:$1,0)),"")</f>
        <v>1082.7037308418614</v>
      </c>
      <c r="AL192" s="317">
        <f>IFERROR(INDEX('Domestic Mobile Operations'!$A:$ABB,MATCH($AA192,'Domestic Mobile Operations'!$A:$A,0),MATCH(AL191,'Domestic Mobile Operations'!$1:$1,0)),"")</f>
        <v>1103.8297277550466</v>
      </c>
      <c r="AM192" s="317">
        <f>IFERROR(INDEX('Domestic Mobile Operations'!$A:$ABB,MATCH($AA192,'Domestic Mobile Operations'!$A:$A,0),MATCH(AM191,'Domestic Mobile Operations'!$1:$1,0)),"")</f>
        <v>1081.7010042667714</v>
      </c>
      <c r="AN192" s="317">
        <f>IFERROR(INDEX('Domestic Mobile Operations'!$A:$ABB,MATCH($AA192,'Domestic Mobile Operations'!$A:$A,0),MATCH(AN191,'Domestic Mobile Operations'!$1:$1,0)),"")</f>
        <v>1093.5771820419661</v>
      </c>
      <c r="AO192" s="317">
        <f>IFERROR(INDEX('Domestic Mobile Operations'!$A:$ABB,MATCH($AA192,'Domestic Mobile Operations'!$A:$A,0),MATCH(AO191,'Domestic Mobile Operations'!$1:$1,0)),"")</f>
        <v>1122.2647596268271</v>
      </c>
      <c r="AP192" s="317">
        <f>IFERROR(INDEX('Domestic Mobile Operations'!$A:$ABB,MATCH($AA192,'Domestic Mobile Operations'!$A:$A,0),MATCH(AP191,'Domestic Mobile Operations'!$1:$1,0)),"")</f>
        <v>1137.8366422681299</v>
      </c>
      <c r="AQ192" s="317">
        <f>IFERROR(INDEX('Domestic Mobile Operations'!$A:$ABB,MATCH($AA192,'Domestic Mobile Operations'!$A:$A,0),MATCH(AQ191,'Domestic Mobile Operations'!$1:$1,0)),"")</f>
        <v>1123.0891380330163</v>
      </c>
      <c r="AR192" s="317">
        <f>IFERROR(INDEX('Domestic Mobile Operations'!$A:$ABB,MATCH($AA192,'Domestic Mobile Operations'!$A:$A,0),MATCH(AR191,'Domestic Mobile Operations'!$1:$1,0)),"")</f>
        <v>1126.6651060294257</v>
      </c>
      <c r="AS192" s="317">
        <f>IFERROR(INDEX('Domestic Mobile Operations'!$A:$ABB,MATCH($AA192,'Domestic Mobile Operations'!$A:$A,0),MATCH(AS191,'Domestic Mobile Operations'!$1:$1,0)),"")</f>
        <v>1157.9182279734218</v>
      </c>
      <c r="AT192" s="317">
        <f>IFERROR(INDEX('Domestic Mobile Operations'!$A:$ABB,MATCH($AA192,'Domestic Mobile Operations'!$A:$A,0),MATCH(AT191,'Domestic Mobile Operations'!$1:$1,0)),"")</f>
        <v>1127.8280349408053</v>
      </c>
      <c r="AU192" s="317">
        <f>IFERROR(INDEX('Domestic Mobile Operations'!$A:$ABB,MATCH($AA192,'Domestic Mobile Operations'!$A:$A,0),MATCH(AU191,'Domestic Mobile Operations'!$1:$1,0)),"")</f>
        <v>1134.9890117921996</v>
      </c>
    </row>
    <row r="193" spans="1:47">
      <c r="A193" s="49"/>
      <c r="B193" s="49"/>
      <c r="C193" s="49"/>
      <c r="D193" s="49"/>
      <c r="E193" s="49"/>
      <c r="F193" s="49"/>
      <c r="G193" s="49"/>
      <c r="H193" s="49"/>
      <c r="I193" s="49"/>
      <c r="J193" s="49"/>
      <c r="K193" s="49"/>
      <c r="L193" s="49"/>
      <c r="M193" s="49"/>
      <c r="N193" s="49"/>
      <c r="O193" s="49"/>
      <c r="P193" s="49"/>
      <c r="Q193" s="49"/>
      <c r="R193" s="49"/>
      <c r="S193" s="49"/>
      <c r="T193" s="49"/>
      <c r="U193" s="49"/>
      <c r="V193" s="49"/>
      <c r="W193" s="49"/>
    </row>
    <row r="194" spans="1:47">
      <c r="A194" s="49"/>
      <c r="B194" s="49"/>
      <c r="C194" s="49"/>
      <c r="D194" s="49"/>
      <c r="E194" s="49"/>
      <c r="F194" s="49"/>
      <c r="G194" s="49"/>
      <c r="H194" s="49"/>
      <c r="I194" s="49"/>
      <c r="J194" s="49"/>
      <c r="K194" s="49"/>
      <c r="L194" s="49"/>
      <c r="M194" s="49"/>
      <c r="N194" s="49"/>
      <c r="O194" s="49"/>
      <c r="P194" s="49"/>
      <c r="Q194" s="49"/>
      <c r="R194" s="49"/>
      <c r="S194" s="49"/>
      <c r="T194" s="49"/>
      <c r="U194" s="49"/>
      <c r="V194" s="49"/>
      <c r="W194" s="49"/>
    </row>
    <row r="195" spans="1:47">
      <c r="A195" s="49"/>
      <c r="B195" s="49"/>
      <c r="C195" s="49"/>
      <c r="D195" s="49"/>
      <c r="E195" s="49"/>
      <c r="F195" s="49"/>
      <c r="G195" s="49"/>
      <c r="H195" s="49"/>
      <c r="I195" s="49"/>
      <c r="J195" s="49"/>
      <c r="K195" s="49"/>
      <c r="L195" s="49"/>
      <c r="M195" s="49"/>
      <c r="N195" s="49"/>
      <c r="O195" s="49"/>
      <c r="P195" s="49"/>
      <c r="Q195" s="49"/>
      <c r="R195" s="49"/>
      <c r="S195" s="49"/>
      <c r="T195" s="49"/>
      <c r="U195" s="49"/>
      <c r="V195" s="49"/>
      <c r="W195" s="49"/>
    </row>
    <row r="196" spans="1:47">
      <c r="A196" s="49"/>
      <c r="B196" s="49"/>
      <c r="C196" s="49"/>
      <c r="D196" s="49"/>
      <c r="E196" s="49"/>
      <c r="F196" s="49"/>
      <c r="G196" s="49"/>
      <c r="H196" s="49"/>
      <c r="I196" s="49"/>
      <c r="J196" s="49"/>
      <c r="K196" s="49"/>
      <c r="L196" s="49"/>
      <c r="M196" s="49"/>
      <c r="N196" s="49"/>
      <c r="O196" s="49"/>
      <c r="P196" s="49"/>
      <c r="Q196" s="49"/>
      <c r="R196" s="49"/>
      <c r="S196" s="49"/>
      <c r="T196" s="49"/>
      <c r="U196" s="49"/>
      <c r="V196" s="49"/>
      <c r="W196" s="49"/>
    </row>
    <row r="197" spans="1:47">
      <c r="A197" s="49"/>
      <c r="B197" s="49"/>
      <c r="C197" s="49"/>
      <c r="D197" s="49"/>
      <c r="E197" s="49"/>
      <c r="F197" s="49"/>
      <c r="G197" s="49"/>
      <c r="H197" s="49"/>
      <c r="I197" s="49"/>
      <c r="J197" s="49"/>
      <c r="K197" s="49"/>
      <c r="L197" s="49"/>
      <c r="M197" s="49"/>
      <c r="N197" s="49"/>
      <c r="O197" s="49"/>
      <c r="P197" s="49"/>
      <c r="Q197" s="49"/>
      <c r="R197" s="49"/>
      <c r="S197" s="49"/>
      <c r="T197" s="49"/>
      <c r="U197" s="49"/>
      <c r="V197" s="49"/>
      <c r="W197" s="49"/>
    </row>
    <row r="198" spans="1:47">
      <c r="A198" s="49"/>
      <c r="B198" s="49"/>
      <c r="C198" s="49"/>
      <c r="D198" s="49"/>
      <c r="E198" s="49"/>
      <c r="F198" s="49"/>
      <c r="G198" s="49"/>
      <c r="H198" s="49"/>
      <c r="I198" s="49"/>
      <c r="J198" s="49"/>
      <c r="K198" s="49"/>
      <c r="L198" s="49"/>
      <c r="M198" s="49"/>
      <c r="N198" s="49"/>
      <c r="O198" s="49"/>
      <c r="P198" s="49"/>
      <c r="Q198" s="49"/>
      <c r="R198" s="49"/>
      <c r="S198" s="49"/>
      <c r="T198" s="49"/>
      <c r="U198" s="49"/>
      <c r="V198" s="49"/>
      <c r="W198" s="49"/>
    </row>
    <row r="199" spans="1:47">
      <c r="A199" s="1" t="s">
        <v>453</v>
      </c>
      <c r="B199" s="1" t="s">
        <v>474</v>
      </c>
      <c r="C199" s="1"/>
      <c r="D199" s="1"/>
      <c r="E199" s="1"/>
      <c r="F199" s="1"/>
      <c r="G199" s="1"/>
      <c r="H199" s="1"/>
      <c r="I199" s="1"/>
      <c r="J199" s="1"/>
      <c r="K199" s="1" t="s">
        <v>454</v>
      </c>
      <c r="L199" s="1" t="s">
        <v>511</v>
      </c>
      <c r="M199" s="1"/>
      <c r="N199" s="1"/>
      <c r="O199" s="1"/>
      <c r="P199" s="1"/>
      <c r="Q199" s="1"/>
      <c r="R199" s="1"/>
      <c r="S199" s="1"/>
      <c r="T199" s="1"/>
      <c r="U199" s="49"/>
      <c r="V199" s="49"/>
      <c r="W199" s="49"/>
    </row>
    <row r="200" spans="1:47">
      <c r="A200" s="49"/>
      <c r="B200" s="49"/>
      <c r="C200" s="49"/>
      <c r="D200" s="49"/>
      <c r="E200" s="49"/>
      <c r="F200" s="49"/>
      <c r="G200" s="49"/>
      <c r="H200" s="49"/>
      <c r="I200" s="49"/>
      <c r="J200" s="49"/>
      <c r="K200" s="49"/>
      <c r="L200" s="49"/>
      <c r="M200" s="49"/>
      <c r="N200" s="49"/>
      <c r="O200" s="49"/>
      <c r="P200" s="49"/>
      <c r="Q200" s="49"/>
      <c r="R200" s="49"/>
      <c r="S200" s="49"/>
      <c r="T200" s="49"/>
      <c r="U200" s="49"/>
      <c r="V200" s="49"/>
      <c r="W200" s="49"/>
    </row>
    <row r="201" spans="1:47">
      <c r="A201" s="49"/>
      <c r="B201" s="49"/>
      <c r="C201" s="49"/>
      <c r="D201" s="49"/>
      <c r="E201" s="49"/>
      <c r="F201" s="49"/>
      <c r="G201" s="49"/>
      <c r="H201" s="49"/>
      <c r="I201" s="49"/>
      <c r="J201" s="49"/>
      <c r="K201" s="49"/>
      <c r="L201" s="49"/>
      <c r="M201" s="49"/>
      <c r="N201" s="49"/>
      <c r="O201" s="49"/>
      <c r="P201" s="49"/>
      <c r="Q201" s="49"/>
      <c r="R201" s="49"/>
      <c r="S201" s="49"/>
      <c r="T201" s="49"/>
      <c r="U201" s="49"/>
      <c r="V201" s="49"/>
      <c r="W201" s="49"/>
    </row>
    <row r="202" spans="1:47">
      <c r="A202" s="49"/>
      <c r="B202" s="49"/>
      <c r="C202" s="49"/>
      <c r="D202" s="49"/>
      <c r="E202" s="49"/>
      <c r="F202" s="49"/>
      <c r="G202" s="49"/>
      <c r="H202" s="49"/>
      <c r="I202" s="49"/>
      <c r="J202" s="49"/>
      <c r="K202" s="49"/>
      <c r="L202" s="49"/>
      <c r="M202" s="49"/>
      <c r="N202" s="49"/>
      <c r="O202" s="49"/>
      <c r="P202" s="49"/>
      <c r="Q202" s="49"/>
      <c r="R202" s="49"/>
      <c r="S202" s="49"/>
      <c r="T202" s="49"/>
      <c r="U202" s="49"/>
      <c r="V202" s="49"/>
      <c r="W202" s="49"/>
    </row>
    <row r="203" spans="1:47">
      <c r="A203" s="49"/>
      <c r="B203" s="49"/>
      <c r="C203" s="49"/>
      <c r="D203" s="49"/>
      <c r="E203" s="49"/>
      <c r="F203" s="49"/>
      <c r="G203" s="49"/>
      <c r="H203" s="49"/>
      <c r="I203" s="49"/>
      <c r="J203" s="49"/>
      <c r="K203" s="49"/>
      <c r="L203" s="49"/>
      <c r="M203" s="49"/>
      <c r="N203" s="49"/>
      <c r="O203" s="49"/>
      <c r="P203" s="49"/>
      <c r="Q203" s="49"/>
      <c r="R203" s="49"/>
      <c r="S203" s="49"/>
      <c r="T203" s="49"/>
      <c r="U203" s="49"/>
      <c r="V203" s="49"/>
      <c r="W203" s="49"/>
    </row>
    <row r="204" spans="1:47">
      <c r="A204" s="49"/>
      <c r="B204" s="49"/>
      <c r="C204" s="49"/>
      <c r="D204" s="49"/>
      <c r="E204" s="49"/>
      <c r="F204" s="49"/>
      <c r="G204" s="49"/>
      <c r="H204" s="49"/>
      <c r="I204" s="49"/>
      <c r="J204" s="49"/>
      <c r="K204" s="49"/>
      <c r="L204" s="49"/>
      <c r="M204" s="49"/>
      <c r="N204" s="49"/>
      <c r="O204" s="49"/>
      <c r="P204" s="49"/>
      <c r="Q204" s="49"/>
      <c r="R204" s="49"/>
      <c r="S204" s="49"/>
      <c r="T204" s="49"/>
      <c r="U204" s="49"/>
      <c r="V204" s="49"/>
      <c r="W204" s="49"/>
      <c r="AB204" s="303">
        <f t="shared" ref="AB204" si="286">AC204-1</f>
        <v>35</v>
      </c>
      <c r="AC204" s="303">
        <f t="shared" ref="AC204" si="287">AD204-1</f>
        <v>36</v>
      </c>
      <c r="AD204" s="303">
        <f t="shared" ref="AD204" si="288">AE204-1</f>
        <v>37</v>
      </c>
      <c r="AE204" s="303">
        <f t="shared" ref="AE204" si="289">AF204-1</f>
        <v>38</v>
      </c>
      <c r="AF204" s="303">
        <f t="shared" ref="AF204" si="290">AG204-1</f>
        <v>39</v>
      </c>
      <c r="AG204" s="303">
        <f t="shared" ref="AG204" si="291">AH204-1</f>
        <v>40</v>
      </c>
      <c r="AH204" s="303">
        <f t="shared" ref="AH204" si="292">AI204-1</f>
        <v>41</v>
      </c>
      <c r="AI204" s="303">
        <f t="shared" ref="AI204" si="293">AJ204-1</f>
        <v>42</v>
      </c>
      <c r="AJ204" s="303">
        <f t="shared" ref="AJ204" si="294">AK204-1</f>
        <v>43</v>
      </c>
      <c r="AK204" s="303">
        <f t="shared" ref="AK204" si="295">AL204-1</f>
        <v>44</v>
      </c>
      <c r="AL204" s="303">
        <f t="shared" ref="AL204" si="296">AM204-1</f>
        <v>45</v>
      </c>
      <c r="AM204" s="303">
        <f t="shared" ref="AM204" si="297">AN204-1</f>
        <v>46</v>
      </c>
      <c r="AN204" s="303">
        <f t="shared" ref="AN204" si="298">AO204-1</f>
        <v>47</v>
      </c>
      <c r="AO204" s="303">
        <f t="shared" ref="AO204" si="299">AP204-1</f>
        <v>48</v>
      </c>
      <c r="AP204" s="303">
        <f t="shared" ref="AP204" si="300">AQ204-1</f>
        <v>49</v>
      </c>
      <c r="AQ204" s="303">
        <f t="shared" ref="AQ204" si="301">AR204-1</f>
        <v>50</v>
      </c>
      <c r="AR204" s="303">
        <f t="shared" ref="AR204" si="302">AS204-1</f>
        <v>51</v>
      </c>
      <c r="AS204" s="303">
        <f t="shared" ref="AS204" si="303">AT204-1</f>
        <v>52</v>
      </c>
      <c r="AT204" s="303">
        <f t="shared" ref="AT204" si="304">AU204-1</f>
        <v>53</v>
      </c>
      <c r="AU204" s="303">
        <f>VLOOKUP(AU205,Dates!$A:$D,2,FALSE)</f>
        <v>54</v>
      </c>
    </row>
    <row r="205" spans="1:47">
      <c r="A205" s="49"/>
      <c r="B205" s="49"/>
      <c r="C205" s="49"/>
      <c r="D205" s="49"/>
      <c r="E205" s="49"/>
      <c r="F205" s="49"/>
      <c r="G205" s="49"/>
      <c r="H205" s="49"/>
      <c r="I205" s="49"/>
      <c r="J205" s="49"/>
      <c r="K205" s="49"/>
      <c r="L205" s="49"/>
      <c r="M205" s="49"/>
      <c r="N205" s="49"/>
      <c r="O205" s="49"/>
      <c r="P205" s="49"/>
      <c r="Q205" s="49"/>
      <c r="R205" s="49"/>
      <c r="S205" s="49"/>
      <c r="T205" s="49"/>
      <c r="U205" s="49"/>
      <c r="V205" s="49"/>
      <c r="W205" s="49"/>
      <c r="AB205" s="303" t="str">
        <f>IFERROR(VLOOKUP(AB204,Dates!$B:$D,3,FALSE),"")</f>
        <v>3Q20</v>
      </c>
      <c r="AC205" s="303" t="str">
        <f>IFERROR(VLOOKUP(AC204,Dates!$B:$D,3,FALSE),"")</f>
        <v>4Q20</v>
      </c>
      <c r="AD205" s="303" t="str">
        <f>IFERROR(VLOOKUP(AD204,Dates!$B:$D,3,FALSE),"")</f>
        <v>1Q21</v>
      </c>
      <c r="AE205" s="303" t="str">
        <f>IFERROR(VLOOKUP(AE204,Dates!$B:$D,3,FALSE),"")</f>
        <v>2Q21</v>
      </c>
      <c r="AF205" s="303" t="str">
        <f>IFERROR(VLOOKUP(AF204,Dates!$B:$D,3,FALSE),"")</f>
        <v>3Q21</v>
      </c>
      <c r="AG205" s="303" t="str">
        <f>IFERROR(VLOOKUP(AG204,Dates!$B:$D,3,FALSE),"")</f>
        <v>4Q21</v>
      </c>
      <c r="AH205" s="303" t="str">
        <f>IFERROR(VLOOKUP(AH204,Dates!$B:$D,3,FALSE),"")</f>
        <v>1Q22</v>
      </c>
      <c r="AI205" s="303" t="str">
        <f>IFERROR(VLOOKUP(AI204,Dates!$B:$D,3,FALSE),"")</f>
        <v>2Q22</v>
      </c>
      <c r="AJ205" s="303" t="str">
        <f>IFERROR(VLOOKUP(AJ204,Dates!$B:$D,3,FALSE),"")</f>
        <v>3Q22</v>
      </c>
      <c r="AK205" s="303" t="str">
        <f>IFERROR(VLOOKUP(AK204,Dates!$B:$D,3,FALSE),"")</f>
        <v>4Q22</v>
      </c>
      <c r="AL205" s="303" t="str">
        <f>IFERROR(VLOOKUP(AL204,Dates!$B:$D,3,FALSE),"")</f>
        <v>1Q23</v>
      </c>
      <c r="AM205" s="303" t="str">
        <f>IFERROR(VLOOKUP(AM204,Dates!$B:$D,3,FALSE),"")</f>
        <v>2Q23</v>
      </c>
      <c r="AN205" s="303" t="str">
        <f>IFERROR(VLOOKUP(AN204,Dates!$B:$D,3,FALSE),"")</f>
        <v>3Q23</v>
      </c>
      <c r="AO205" s="303" t="str">
        <f>IFERROR(VLOOKUP(AO204,Dates!$B:$D,3,FALSE),"")</f>
        <v>4Q23</v>
      </c>
      <c r="AP205" s="303" t="str">
        <f>IFERROR(VLOOKUP(AP204,Dates!$B:$D,3,FALSE),"")</f>
        <v>1Q24</v>
      </c>
      <c r="AQ205" s="303" t="str">
        <f>IFERROR(VLOOKUP(AQ204,Dates!$B:$D,3,FALSE),"")</f>
        <v>2Q24</v>
      </c>
      <c r="AR205" s="303" t="str">
        <f>IFERROR(VLOOKUP(AR204,Dates!$B:$D,3,FALSE),"")</f>
        <v>3Q24</v>
      </c>
      <c r="AS205" s="303" t="str">
        <f>IFERROR(VLOOKUP(AS204,Dates!$B:$D,3,FALSE),"")</f>
        <v>4Q24</v>
      </c>
      <c r="AT205" s="303" t="str">
        <f>IFERROR(VLOOKUP(AT204,Dates!$B:$D,3,FALSE),"")</f>
        <v>1Q25</v>
      </c>
      <c r="AU205" s="315" t="str">
        <f>$G$3</f>
        <v>2Q25</v>
      </c>
    </row>
    <row r="206" spans="1:47">
      <c r="A206" s="49"/>
      <c r="B206" s="49"/>
      <c r="C206" s="49"/>
      <c r="D206" s="49"/>
      <c r="E206" s="49"/>
      <c r="F206" s="49"/>
      <c r="G206" s="49"/>
      <c r="H206" s="49"/>
      <c r="I206" s="49"/>
      <c r="J206" s="49"/>
      <c r="K206" s="49"/>
      <c r="L206" s="49"/>
      <c r="M206" s="49"/>
      <c r="N206" s="49"/>
      <c r="O206" s="49"/>
      <c r="P206" s="49"/>
      <c r="Q206" s="49"/>
      <c r="R206" s="49"/>
      <c r="S206" s="49"/>
      <c r="T206" s="49"/>
      <c r="U206" s="49"/>
      <c r="V206" s="49"/>
      <c r="W206" s="49"/>
      <c r="AA206" s="316" t="str">
        <f>'Domestic Mobile Operations'!A39</f>
        <v>Data - Total Traffic (mn MB)</v>
      </c>
      <c r="AB206" s="317">
        <f>IFERROR(INDEX('Domestic Mobile Operations'!$A:$ABB,MATCH($AA206,'Domestic Mobile Operations'!$A:$A,0),MATCH(AB205,'Domestic Mobile Operations'!$1:$1,0)),"")</f>
        <v>5547222.8882551901</v>
      </c>
      <c r="AC206" s="317">
        <f>IFERROR(INDEX('Domestic Mobile Operations'!$A:$ABB,MATCH($AA206,'Domestic Mobile Operations'!$A:$A,0),MATCH(AC205,'Domestic Mobile Operations'!$1:$1,0)),"")</f>
        <v>6452825.1837578602</v>
      </c>
      <c r="AD206" s="317">
        <f>IFERROR(INDEX('Domestic Mobile Operations'!$A:$ABB,MATCH($AA206,'Domestic Mobile Operations'!$A:$A,0),MATCH(AD205,'Domestic Mobile Operations'!$1:$1,0)),"")</f>
        <v>7239836.0369207403</v>
      </c>
      <c r="AE206" s="317">
        <f>IFERROR(INDEX('Domestic Mobile Operations'!$A:$ABB,MATCH($AA206,'Domestic Mobile Operations'!$A:$A,0),MATCH(AE205,'Domestic Mobile Operations'!$1:$1,0)),"")</f>
        <v>7639997.0647942405</v>
      </c>
      <c r="AF206" s="317">
        <f>IFERROR(INDEX('Domestic Mobile Operations'!$A:$ABB,MATCH($AA206,'Domestic Mobile Operations'!$A:$A,0),MATCH(AF205,'Domestic Mobile Operations'!$1:$1,0)),"")</f>
        <v>8453705.6488166004</v>
      </c>
      <c r="AG206" s="317">
        <f>IFERROR(INDEX('Domestic Mobile Operations'!$A:$ABB,MATCH($AA206,'Domestic Mobile Operations'!$A:$A,0),MATCH(AG205,'Domestic Mobile Operations'!$1:$1,0)),"")</f>
        <v>9207030.3380598594</v>
      </c>
      <c r="AH206" s="317">
        <f>IFERROR(INDEX('Domestic Mobile Operations'!$A:$ABB,MATCH($AA206,'Domestic Mobile Operations'!$A:$A,0),MATCH(AH205,'Domestic Mobile Operations'!$1:$1,0)),"")</f>
        <v>10771051.277578101</v>
      </c>
      <c r="AI206" s="317">
        <f>IFERROR(INDEX('Domestic Mobile Operations'!$A:$ABB,MATCH($AA206,'Domestic Mobile Operations'!$A:$A,0),MATCH(AI205,'Domestic Mobile Operations'!$1:$1,0)),"")</f>
        <v>11270769.342128672</v>
      </c>
      <c r="AJ206" s="317">
        <f>IFERROR(INDEX('Domestic Mobile Operations'!$A:$ABB,MATCH($AA206,'Domestic Mobile Operations'!$A:$A,0),MATCH(AJ205,'Domestic Mobile Operations'!$1:$1,0)),"")</f>
        <v>11311779.776500579</v>
      </c>
      <c r="AK206" s="317">
        <f>IFERROR(INDEX('Domestic Mobile Operations'!$A:$ABB,MATCH($AA206,'Domestic Mobile Operations'!$A:$A,0),MATCH(AK205,'Domestic Mobile Operations'!$1:$1,0)),"")</f>
        <v>11849333.770498659</v>
      </c>
      <c r="AL206" s="317">
        <f>IFERROR(INDEX('Domestic Mobile Operations'!$A:$ABB,MATCH($AA206,'Domestic Mobile Operations'!$A:$A,0),MATCH(AL205,'Domestic Mobile Operations'!$1:$1,0)),"")</f>
        <v>12266931.50566539</v>
      </c>
      <c r="AM206" s="317">
        <f>IFERROR(INDEX('Domestic Mobile Operations'!$A:$ABB,MATCH($AA206,'Domestic Mobile Operations'!$A:$A,0),MATCH(AM205,'Domestic Mobile Operations'!$1:$1,0)),"")</f>
        <v>13169219.155505517</v>
      </c>
      <c r="AN206" s="317">
        <f>IFERROR(INDEX('Domestic Mobile Operations'!$A:$ABB,MATCH($AA206,'Domestic Mobile Operations'!$A:$A,0),MATCH(AN205,'Domestic Mobile Operations'!$1:$1,0)),"")</f>
        <v>13528642.577369289</v>
      </c>
      <c r="AO206" s="317">
        <f>IFERROR(INDEX('Domestic Mobile Operations'!$A:$ABB,MATCH($AA206,'Domestic Mobile Operations'!$A:$A,0),MATCH(AO205,'Domestic Mobile Operations'!$1:$1,0)),"")</f>
        <v>13914370.319263814</v>
      </c>
      <c r="AP206" s="317">
        <f>IFERROR(INDEX('Domestic Mobile Operations'!$A:$ABB,MATCH($AA206,'Domestic Mobile Operations'!$A:$A,0),MATCH(AP205,'Domestic Mobile Operations'!$1:$1,0)),"")</f>
        <v>14915279.31744156</v>
      </c>
      <c r="AQ206" s="317">
        <f>IFERROR(INDEX('Domestic Mobile Operations'!$A:$ABB,MATCH($AA206,'Domestic Mobile Operations'!$A:$A,0),MATCH(AQ205,'Domestic Mobile Operations'!$1:$1,0)),"")</f>
        <v>15748977.4837572</v>
      </c>
      <c r="AR206" s="317">
        <f>IFERROR(INDEX('Domestic Mobile Operations'!$A:$ABB,MATCH($AA206,'Domestic Mobile Operations'!$A:$A,0),MATCH(AR205,'Domestic Mobile Operations'!$1:$1,0)),"")</f>
        <v>16376505.1282607</v>
      </c>
      <c r="AS206" s="317">
        <f>IFERROR(INDEX('Domestic Mobile Operations'!$A:$ABB,MATCH($AA206,'Domestic Mobile Operations'!$A:$A,0),MATCH(AS205,'Domestic Mobile Operations'!$1:$1,0)),"")</f>
        <v>17390877.452120401</v>
      </c>
      <c r="AT206" s="317">
        <f>IFERROR(INDEX('Domestic Mobile Operations'!$A:$ABB,MATCH($AA206,'Domestic Mobile Operations'!$A:$A,0),MATCH(AT205,'Domestic Mobile Operations'!$1:$1,0)),"")</f>
        <v>18788715.654047199</v>
      </c>
      <c r="AU206" s="317">
        <f>IFERROR(INDEX('Domestic Mobile Operations'!$A:$ABB,MATCH($AA206,'Domestic Mobile Operations'!$A:$A,0),MATCH(AU205,'Domestic Mobile Operations'!$1:$1,0)),"")</f>
        <v>19311.255009836626</v>
      </c>
    </row>
    <row r="207" spans="1:47">
      <c r="A207" s="49"/>
      <c r="B207" s="49"/>
      <c r="C207" s="49"/>
      <c r="D207" s="49"/>
      <c r="E207" s="49"/>
      <c r="F207" s="49"/>
      <c r="G207" s="49"/>
      <c r="H207" s="49"/>
      <c r="I207" s="49"/>
      <c r="J207" s="49"/>
      <c r="K207" s="49"/>
      <c r="L207" s="49"/>
      <c r="M207" s="49"/>
      <c r="N207" s="49"/>
      <c r="O207" s="49"/>
      <c r="P207" s="49"/>
      <c r="Q207" s="49"/>
      <c r="R207" s="49"/>
      <c r="S207" s="49"/>
      <c r="T207" s="49"/>
      <c r="U207" s="49"/>
      <c r="V207" s="49"/>
      <c r="W207" s="49"/>
    </row>
    <row r="208" spans="1:47">
      <c r="A208" s="49"/>
      <c r="B208" s="49"/>
      <c r="C208" s="49"/>
      <c r="D208" s="49"/>
      <c r="E208" s="49"/>
      <c r="F208" s="49"/>
      <c r="G208" s="49"/>
      <c r="H208" s="49"/>
      <c r="I208" s="49"/>
      <c r="J208" s="49"/>
      <c r="K208" s="49"/>
      <c r="L208" s="49"/>
      <c r="M208" s="49"/>
      <c r="N208" s="49"/>
      <c r="O208" s="49"/>
      <c r="P208" s="49"/>
      <c r="Q208" s="49"/>
      <c r="R208" s="49"/>
      <c r="S208" s="49"/>
      <c r="T208" s="49"/>
      <c r="U208" s="49"/>
      <c r="V208" s="49"/>
      <c r="W208" s="49"/>
    </row>
    <row r="209" spans="1:47">
      <c r="A209" s="49"/>
      <c r="B209" s="49"/>
      <c r="C209" s="49"/>
      <c r="D209" s="49"/>
      <c r="E209" s="49"/>
      <c r="F209" s="49"/>
      <c r="G209" s="49"/>
      <c r="H209" s="49"/>
      <c r="I209" s="49"/>
      <c r="J209" s="49"/>
      <c r="K209" s="49"/>
      <c r="L209" s="49"/>
      <c r="M209" s="49"/>
      <c r="N209" s="49"/>
      <c r="O209" s="49"/>
      <c r="P209" s="49"/>
      <c r="Q209" s="49"/>
      <c r="R209" s="49"/>
      <c r="S209" s="49"/>
      <c r="T209" s="49"/>
      <c r="U209" s="49"/>
      <c r="V209" s="49"/>
      <c r="W209" s="49"/>
    </row>
    <row r="210" spans="1:47">
      <c r="A210" s="49"/>
      <c r="B210" s="49"/>
      <c r="C210" s="49"/>
      <c r="D210" s="49"/>
      <c r="E210" s="49"/>
      <c r="F210" s="49"/>
      <c r="G210" s="49"/>
      <c r="H210" s="49"/>
      <c r="I210" s="49"/>
      <c r="J210" s="49"/>
      <c r="K210" s="49"/>
      <c r="L210" s="49"/>
      <c r="M210" s="49"/>
      <c r="N210" s="49"/>
      <c r="O210" s="49"/>
      <c r="P210" s="49"/>
      <c r="Q210" s="49"/>
      <c r="R210" s="49"/>
      <c r="S210" s="49"/>
      <c r="T210" s="49"/>
      <c r="U210" s="49"/>
      <c r="V210" s="49"/>
      <c r="W210" s="49"/>
      <c r="AB210" s="303">
        <f t="shared" ref="AB210" si="305">AC210-1</f>
        <v>35</v>
      </c>
      <c r="AC210" s="303">
        <f t="shared" ref="AC210" si="306">AD210-1</f>
        <v>36</v>
      </c>
      <c r="AD210" s="303">
        <f t="shared" ref="AD210" si="307">AE210-1</f>
        <v>37</v>
      </c>
      <c r="AE210" s="303">
        <f t="shared" ref="AE210" si="308">AF210-1</f>
        <v>38</v>
      </c>
      <c r="AF210" s="303">
        <f t="shared" ref="AF210" si="309">AG210-1</f>
        <v>39</v>
      </c>
      <c r="AG210" s="303">
        <f t="shared" ref="AG210" si="310">AH210-1</f>
        <v>40</v>
      </c>
      <c r="AH210" s="303">
        <f t="shared" ref="AH210" si="311">AI210-1</f>
        <v>41</v>
      </c>
      <c r="AI210" s="303">
        <f t="shared" ref="AI210" si="312">AJ210-1</f>
        <v>42</v>
      </c>
      <c r="AJ210" s="303">
        <f t="shared" ref="AJ210" si="313">AK210-1</f>
        <v>43</v>
      </c>
      <c r="AK210" s="303">
        <f t="shared" ref="AK210" si="314">AL210-1</f>
        <v>44</v>
      </c>
      <c r="AL210" s="303">
        <f t="shared" ref="AL210" si="315">AM210-1</f>
        <v>45</v>
      </c>
      <c r="AM210" s="303">
        <f t="shared" ref="AM210" si="316">AN210-1</f>
        <v>46</v>
      </c>
      <c r="AN210" s="303">
        <f t="shared" ref="AN210" si="317">AO210-1</f>
        <v>47</v>
      </c>
      <c r="AO210" s="303">
        <f t="shared" ref="AO210" si="318">AP210-1</f>
        <v>48</v>
      </c>
      <c r="AP210" s="303">
        <f t="shared" ref="AP210" si="319">AQ210-1</f>
        <v>49</v>
      </c>
      <c r="AQ210" s="303">
        <f t="shared" ref="AQ210" si="320">AR210-1</f>
        <v>50</v>
      </c>
      <c r="AR210" s="303">
        <f t="shared" ref="AR210" si="321">AS210-1</f>
        <v>51</v>
      </c>
      <c r="AS210" s="303">
        <f t="shared" ref="AS210" si="322">AT210-1</f>
        <v>52</v>
      </c>
      <c r="AT210" s="303">
        <f t="shared" ref="AT210" si="323">AU210-1</f>
        <v>53</v>
      </c>
      <c r="AU210" s="303">
        <f>VLOOKUP(AU211,Dates!$A:$D,2,FALSE)</f>
        <v>54</v>
      </c>
    </row>
    <row r="211" spans="1:47">
      <c r="A211" s="49"/>
      <c r="B211" s="49"/>
      <c r="C211" s="49"/>
      <c r="D211" s="49"/>
      <c r="E211" s="49"/>
      <c r="F211" s="49"/>
      <c r="G211" s="49"/>
      <c r="H211" s="49"/>
      <c r="I211" s="49"/>
      <c r="J211" s="49"/>
      <c r="K211" s="49"/>
      <c r="L211" s="49"/>
      <c r="M211" s="49"/>
      <c r="N211" s="49"/>
      <c r="O211" s="49"/>
      <c r="P211" s="49"/>
      <c r="Q211" s="49"/>
      <c r="R211" s="49"/>
      <c r="S211" s="49"/>
      <c r="T211" s="49"/>
      <c r="U211" s="49"/>
      <c r="V211" s="49"/>
      <c r="W211" s="49"/>
      <c r="AB211" s="303" t="str">
        <f>IFERROR(VLOOKUP(AB210,Dates!$B:$D,3,FALSE),"")</f>
        <v>3Q20</v>
      </c>
      <c r="AC211" s="303" t="str">
        <f>IFERROR(VLOOKUP(AC210,Dates!$B:$D,3,FALSE),"")</f>
        <v>4Q20</v>
      </c>
      <c r="AD211" s="303" t="str">
        <f>IFERROR(VLOOKUP(AD210,Dates!$B:$D,3,FALSE),"")</f>
        <v>1Q21</v>
      </c>
      <c r="AE211" s="303" t="str">
        <f>IFERROR(VLOOKUP(AE210,Dates!$B:$D,3,FALSE),"")</f>
        <v>2Q21</v>
      </c>
      <c r="AF211" s="303" t="str">
        <f>IFERROR(VLOOKUP(AF210,Dates!$B:$D,3,FALSE),"")</f>
        <v>3Q21</v>
      </c>
      <c r="AG211" s="303" t="str">
        <f>IFERROR(VLOOKUP(AG210,Dates!$B:$D,3,FALSE),"")</f>
        <v>4Q21</v>
      </c>
      <c r="AH211" s="303" t="str">
        <f>IFERROR(VLOOKUP(AH210,Dates!$B:$D,3,FALSE),"")</f>
        <v>1Q22</v>
      </c>
      <c r="AI211" s="303" t="str">
        <f>IFERROR(VLOOKUP(AI210,Dates!$B:$D,3,FALSE),"")</f>
        <v>2Q22</v>
      </c>
      <c r="AJ211" s="303" t="str">
        <f>IFERROR(VLOOKUP(AJ210,Dates!$B:$D,3,FALSE),"")</f>
        <v>3Q22</v>
      </c>
      <c r="AK211" s="303" t="str">
        <f>IFERROR(VLOOKUP(AK210,Dates!$B:$D,3,FALSE),"")</f>
        <v>4Q22</v>
      </c>
      <c r="AL211" s="303" t="str">
        <f>IFERROR(VLOOKUP(AL210,Dates!$B:$D,3,FALSE),"")</f>
        <v>1Q23</v>
      </c>
      <c r="AM211" s="303" t="str">
        <f>IFERROR(VLOOKUP(AM210,Dates!$B:$D,3,FALSE),"")</f>
        <v>2Q23</v>
      </c>
      <c r="AN211" s="303" t="str">
        <f>IFERROR(VLOOKUP(AN210,Dates!$B:$D,3,FALSE),"")</f>
        <v>3Q23</v>
      </c>
      <c r="AO211" s="303" t="str">
        <f>IFERROR(VLOOKUP(AO210,Dates!$B:$D,3,FALSE),"")</f>
        <v>4Q23</v>
      </c>
      <c r="AP211" s="303" t="str">
        <f>IFERROR(VLOOKUP(AP210,Dates!$B:$D,3,FALSE),"")</f>
        <v>1Q24</v>
      </c>
      <c r="AQ211" s="303" t="str">
        <f>IFERROR(VLOOKUP(AQ210,Dates!$B:$D,3,FALSE),"")</f>
        <v>2Q24</v>
      </c>
      <c r="AR211" s="303" t="str">
        <f>IFERROR(VLOOKUP(AR210,Dates!$B:$D,3,FALSE),"")</f>
        <v>3Q24</v>
      </c>
      <c r="AS211" s="303" t="str">
        <f>IFERROR(VLOOKUP(AS210,Dates!$B:$D,3,FALSE),"")</f>
        <v>4Q24</v>
      </c>
      <c r="AT211" s="303" t="str">
        <f>IFERROR(VLOOKUP(AT210,Dates!$B:$D,3,FALSE),"")</f>
        <v>1Q25</v>
      </c>
      <c r="AU211" s="315" t="str">
        <f>$G$3</f>
        <v>2Q25</v>
      </c>
    </row>
    <row r="212" spans="1:47">
      <c r="A212" s="49"/>
      <c r="B212" s="49"/>
      <c r="C212" s="49"/>
      <c r="D212" s="49"/>
      <c r="E212" s="49"/>
      <c r="F212" s="49"/>
      <c r="G212" s="49"/>
      <c r="H212" s="49"/>
      <c r="I212" s="49"/>
      <c r="J212" s="49"/>
      <c r="K212" s="49"/>
      <c r="L212" s="49"/>
      <c r="M212" s="49"/>
      <c r="N212" s="49"/>
      <c r="O212" s="49"/>
      <c r="P212" s="49"/>
      <c r="Q212" s="49"/>
      <c r="R212" s="49"/>
      <c r="S212" s="49"/>
      <c r="T212" s="49"/>
      <c r="U212" s="49"/>
      <c r="V212" s="49"/>
      <c r="W212" s="49"/>
      <c r="AA212" s="316" t="str">
        <f>'Domestic Mobile Operations'!A41</f>
        <v>Data - Usage per customer (MB)</v>
      </c>
      <c r="AB212" s="317">
        <f>IFERROR(INDEX('Domestic Mobile Operations'!$A:$ABB,MATCH($AA212,'Domestic Mobile Operations'!$A:$A,0),MATCH(AB211,'Domestic Mobile Operations'!$1:$1,0)),"")</f>
        <v>13927.658878441332</v>
      </c>
      <c r="AC212" s="317">
        <f>IFERROR(INDEX('Domestic Mobile Operations'!$A:$ABB,MATCH($AA212,'Domestic Mobile Operations'!$A:$A,0),MATCH(AC211,'Domestic Mobile Operations'!$1:$1,0)),"")</f>
        <v>14971.575755476535</v>
      </c>
      <c r="AD212" s="317">
        <f>IFERROR(INDEX('Domestic Mobile Operations'!$A:$ABB,MATCH($AA212,'Domestic Mobile Operations'!$A:$A,0),MATCH(AD211,'Domestic Mobile Operations'!$1:$1,0)),"")</f>
        <v>16654.578968593509</v>
      </c>
      <c r="AE212" s="317">
        <f>IFERROR(INDEX('Domestic Mobile Operations'!$A:$ABB,MATCH($AA212,'Domestic Mobile Operations'!$A:$A,0),MATCH(AE211,'Domestic Mobile Operations'!$1:$1,0)),"")</f>
        <v>16409.301789394438</v>
      </c>
      <c r="AF212" s="317">
        <f>IFERROR(INDEX('Domestic Mobile Operations'!$A:$ABB,MATCH($AA212,'Domestic Mobile Operations'!$A:$A,0),MATCH(AF211,'Domestic Mobile Operations'!$1:$1,0)),"")</f>
        <v>16766</v>
      </c>
      <c r="AG212" s="317">
        <f>IFERROR(INDEX('Domestic Mobile Operations'!$A:$ABB,MATCH($AA212,'Domestic Mobile Operations'!$A:$A,0),MATCH(AG211,'Domestic Mobile Operations'!$1:$1,0)),"")</f>
        <v>16839.763214394759</v>
      </c>
      <c r="AH212" s="317">
        <f>IFERROR(INDEX('Domestic Mobile Operations'!$A:$ABB,MATCH($AA212,'Domestic Mobile Operations'!$A:$A,0),MATCH(AH211,'Domestic Mobile Operations'!$1:$1,0)),"")</f>
        <v>18931.596321990804</v>
      </c>
      <c r="AI212" s="317">
        <f>IFERROR(INDEX('Domestic Mobile Operations'!$A:$ABB,MATCH($AA212,'Domestic Mobile Operations'!$A:$A,0),MATCH(AI211,'Domestic Mobile Operations'!$1:$1,0)),"")</f>
        <v>19065.598659466061</v>
      </c>
      <c r="AJ212" s="317">
        <f>IFERROR(INDEX('Domestic Mobile Operations'!$A:$ABB,MATCH($AA212,'Domestic Mobile Operations'!$A:$A,0),MATCH(AJ211,'Domestic Mobile Operations'!$1:$1,0)),"")</f>
        <v>18726.723195261704</v>
      </c>
      <c r="AK212" s="317">
        <f>IFERROR(INDEX('Domestic Mobile Operations'!$A:$ABB,MATCH($AA212,'Domestic Mobile Operations'!$A:$A,0),MATCH(AK211,'Domestic Mobile Operations'!$1:$1,0)),"")</f>
        <v>19228.494497609328</v>
      </c>
      <c r="AL212" s="317">
        <f>IFERROR(INDEX('Domestic Mobile Operations'!$A:$ABB,MATCH($AA212,'Domestic Mobile Operations'!$A:$A,0),MATCH(AL211,'Domestic Mobile Operations'!$1:$1,0)),"")</f>
        <v>19462.883601578487</v>
      </c>
      <c r="AM212" s="317">
        <f>IFERROR(INDEX('Domestic Mobile Operations'!$A:$ABB,MATCH($AA212,'Domestic Mobile Operations'!$A:$A,0),MATCH(AM211,'Domestic Mobile Operations'!$1:$1,0)),"")</f>
        <v>20271.52344116192</v>
      </c>
      <c r="AN212" s="317">
        <f>IFERROR(INDEX('Domestic Mobile Operations'!$A:$ABB,MATCH($AA212,'Domestic Mobile Operations'!$A:$A,0),MATCH(AN211,'Domestic Mobile Operations'!$1:$1,0)),"")</f>
        <v>20292.12021608292</v>
      </c>
      <c r="AO212" s="317">
        <f>IFERROR(INDEX('Domestic Mobile Operations'!$A:$ABB,MATCH($AA212,'Domestic Mobile Operations'!$A:$A,0),MATCH(AO211,'Domestic Mobile Operations'!$1:$1,0)),"")</f>
        <v>20275.337273789195</v>
      </c>
      <c r="AP212" s="317">
        <f>IFERROR(INDEX('Domestic Mobile Operations'!$A:$ABB,MATCH($AA212,'Domestic Mobile Operations'!$A:$A,0),MATCH(AP211,'Domestic Mobile Operations'!$1:$1,0)),"")</f>
        <v>21123.969098362639</v>
      </c>
      <c r="AQ212" s="317">
        <f>IFERROR(INDEX('Domestic Mobile Operations'!$A:$ABB,MATCH($AA212,'Domestic Mobile Operations'!$A:$A,0),MATCH(AQ211,'Domestic Mobile Operations'!$1:$1,0)),"")</f>
        <v>21701.146506950899</v>
      </c>
      <c r="AR212" s="317">
        <f>IFERROR(INDEX('Domestic Mobile Operations'!$A:$ABB,MATCH($AA212,'Domestic Mobile Operations'!$A:$A,0),MATCH(AR211,'Domestic Mobile Operations'!$1:$1,0)),"")</f>
        <v>21954.0317457153</v>
      </c>
      <c r="AS212" s="317">
        <f>IFERROR(INDEX('Domestic Mobile Operations'!$A:$ABB,MATCH($AA212,'Domestic Mobile Operations'!$A:$A,0),MATCH(AS211,'Domestic Mobile Operations'!$1:$1,0)),"")</f>
        <v>22598.459748273901</v>
      </c>
      <c r="AT212" s="317">
        <f>IFERROR(INDEX('Domestic Mobile Operations'!$A:$ABB,MATCH($AA212,'Domestic Mobile Operations'!$A:$A,0),MATCH(AT211,'Domestic Mobile Operations'!$1:$1,0)),"")</f>
        <v>23743.115355492198</v>
      </c>
      <c r="AU212" s="317">
        <f>IFERROR(INDEX('Domestic Mobile Operations'!$A:$ABB,MATCH($AA212,'Domestic Mobile Operations'!$A:$A,0),MATCH(AU211,'Domestic Mobile Operations'!$1:$1,0)),"")</f>
        <v>23898.735978360099</v>
      </c>
    </row>
    <row r="213" spans="1:47">
      <c r="A213" s="49"/>
      <c r="B213" s="49"/>
      <c r="C213" s="49"/>
      <c r="D213" s="49"/>
      <c r="E213" s="49"/>
      <c r="F213" s="49"/>
      <c r="G213" s="49"/>
      <c r="H213" s="49"/>
      <c r="I213" s="49"/>
      <c r="J213" s="49"/>
      <c r="K213" s="49"/>
      <c r="L213" s="49"/>
      <c r="M213" s="49"/>
      <c r="N213" s="49"/>
      <c r="O213" s="49"/>
      <c r="P213" s="49"/>
      <c r="Q213" s="49"/>
      <c r="R213" s="49"/>
      <c r="S213" s="49"/>
      <c r="T213" s="49"/>
      <c r="U213" s="49"/>
      <c r="V213" s="49"/>
      <c r="W213" s="49"/>
    </row>
    <row r="214" spans="1:47">
      <c r="A214" s="49"/>
      <c r="B214" s="49"/>
      <c r="C214" s="49"/>
      <c r="D214" s="49"/>
      <c r="E214" s="49"/>
      <c r="F214" s="49"/>
      <c r="G214" s="49"/>
      <c r="H214" s="49"/>
      <c r="I214" s="49"/>
      <c r="J214" s="49"/>
      <c r="K214" s="49"/>
      <c r="L214" s="49"/>
      <c r="M214" s="49"/>
      <c r="N214" s="49"/>
      <c r="O214" s="49"/>
      <c r="P214" s="49"/>
      <c r="Q214" s="49"/>
      <c r="R214" s="49"/>
      <c r="S214" s="49"/>
      <c r="T214" s="49"/>
      <c r="U214" s="49"/>
      <c r="V214" s="49"/>
      <c r="W214" s="49"/>
    </row>
    <row r="215" spans="1:47">
      <c r="A215" s="49"/>
      <c r="B215" s="49"/>
      <c r="C215" s="49"/>
      <c r="D215" s="49"/>
      <c r="E215" s="49"/>
      <c r="F215" s="49"/>
      <c r="G215" s="49"/>
      <c r="H215" s="49"/>
      <c r="I215" s="49"/>
      <c r="J215" s="49"/>
      <c r="K215" s="49"/>
      <c r="L215" s="49"/>
      <c r="M215" s="49"/>
      <c r="N215" s="49"/>
      <c r="O215" s="49"/>
      <c r="P215" s="49"/>
      <c r="Q215" s="49"/>
      <c r="R215" s="49"/>
      <c r="S215" s="49"/>
      <c r="T215" s="49"/>
      <c r="U215" s="49"/>
      <c r="V215" s="49"/>
      <c r="W215" s="49"/>
    </row>
    <row r="216" spans="1:47">
      <c r="A216" s="49"/>
      <c r="B216" s="49"/>
      <c r="C216" s="49"/>
      <c r="D216" s="49"/>
      <c r="E216" s="49"/>
      <c r="F216" s="49"/>
      <c r="G216" s="49"/>
      <c r="H216" s="49"/>
      <c r="I216" s="49"/>
      <c r="J216" s="49"/>
      <c r="K216" s="49"/>
      <c r="L216" s="49"/>
      <c r="M216" s="49"/>
      <c r="N216" s="49"/>
      <c r="O216" s="49"/>
      <c r="P216" s="49"/>
      <c r="Q216" s="49"/>
      <c r="R216" s="49"/>
      <c r="S216" s="49"/>
      <c r="T216" s="49"/>
      <c r="U216" s="49"/>
      <c r="V216" s="49"/>
      <c r="W216" s="49"/>
    </row>
    <row r="217" spans="1:47">
      <c r="A217" s="49"/>
      <c r="B217" s="49"/>
      <c r="C217" s="49"/>
      <c r="D217" s="49"/>
      <c r="E217" s="49"/>
      <c r="F217" s="49"/>
      <c r="G217" s="49"/>
      <c r="H217" s="49"/>
      <c r="I217" s="49"/>
      <c r="J217" s="49"/>
      <c r="K217" s="49"/>
      <c r="L217" s="49"/>
      <c r="M217" s="49"/>
      <c r="N217" s="49"/>
      <c r="O217" s="49"/>
      <c r="P217" s="49"/>
      <c r="Q217" s="49"/>
      <c r="R217" s="49"/>
      <c r="S217" s="49"/>
      <c r="T217" s="49"/>
      <c r="U217" s="49"/>
      <c r="V217" s="49"/>
      <c r="W217" s="49"/>
    </row>
    <row r="218" spans="1:47">
      <c r="A218" s="49" t="s">
        <v>587</v>
      </c>
      <c r="B218" s="49"/>
      <c r="C218" s="49"/>
      <c r="D218" s="49"/>
      <c r="E218" s="49"/>
      <c r="F218" s="49"/>
      <c r="G218" s="49"/>
      <c r="H218" s="49"/>
      <c r="I218" s="49"/>
      <c r="J218" s="49"/>
      <c r="K218" s="49" t="s">
        <v>560</v>
      </c>
      <c r="L218" s="49"/>
      <c r="M218" s="49"/>
      <c r="N218" s="49"/>
      <c r="O218" s="49"/>
      <c r="P218" s="49"/>
      <c r="Q218" s="49"/>
      <c r="R218" s="49"/>
      <c r="S218" s="49"/>
      <c r="T218" s="49"/>
      <c r="U218" s="49"/>
      <c r="V218" s="49"/>
      <c r="W218" s="49"/>
    </row>
    <row r="219" spans="1:47">
      <c r="A219" s="49"/>
      <c r="B219" s="49"/>
      <c r="C219" s="49"/>
      <c r="D219" s="49"/>
      <c r="E219" s="49"/>
      <c r="F219" s="49"/>
      <c r="G219" s="49"/>
      <c r="H219" s="49"/>
      <c r="I219" s="49"/>
      <c r="J219" s="49"/>
      <c r="K219" s="49" t="s">
        <v>561</v>
      </c>
      <c r="L219" s="49"/>
      <c r="M219" s="49"/>
      <c r="N219" s="49"/>
      <c r="O219" s="49"/>
      <c r="P219" s="49"/>
      <c r="Q219" s="49"/>
      <c r="R219" s="49"/>
      <c r="S219" s="49"/>
      <c r="T219" s="49"/>
      <c r="U219" s="49"/>
      <c r="V219" s="49"/>
      <c r="W219" s="49"/>
    </row>
    <row r="220" spans="1:47">
      <c r="A220" s="49"/>
      <c r="B220" s="49"/>
      <c r="C220" s="49"/>
      <c r="D220" s="49"/>
      <c r="E220" s="49"/>
      <c r="F220" s="49"/>
      <c r="G220" s="49"/>
      <c r="H220" s="49"/>
      <c r="I220" s="49"/>
      <c r="J220" s="49"/>
      <c r="K220" s="49"/>
      <c r="L220" s="49"/>
      <c r="M220" s="49"/>
      <c r="N220" s="49"/>
      <c r="O220" s="49"/>
      <c r="P220" s="49"/>
      <c r="Q220" s="49"/>
      <c r="R220" s="49"/>
      <c r="S220" s="49"/>
      <c r="T220" s="49"/>
      <c r="U220" s="49"/>
      <c r="V220" s="49"/>
      <c r="W220" s="49"/>
    </row>
    <row r="221" spans="1:47">
      <c r="A221" s="49"/>
      <c r="B221" s="49"/>
      <c r="C221" s="49"/>
      <c r="D221" s="49"/>
      <c r="E221" s="49"/>
      <c r="F221" s="49"/>
      <c r="G221" s="49"/>
      <c r="H221" s="49"/>
      <c r="I221" s="49"/>
      <c r="J221" s="49"/>
      <c r="K221" s="49"/>
      <c r="L221" s="49"/>
      <c r="M221" s="49"/>
      <c r="N221" s="49"/>
      <c r="O221" s="49"/>
      <c r="P221" s="49"/>
      <c r="Q221" s="49"/>
      <c r="R221" s="49"/>
      <c r="S221" s="49"/>
      <c r="T221" s="49"/>
      <c r="U221" s="49"/>
      <c r="V221" s="49"/>
      <c r="W221" s="49"/>
    </row>
    <row r="222" spans="1:47">
      <c r="A222" s="1" t="s">
        <v>513</v>
      </c>
      <c r="B222" s="1" t="s">
        <v>552</v>
      </c>
      <c r="C222" s="1"/>
      <c r="D222" s="1"/>
      <c r="E222" s="1"/>
      <c r="F222" s="1"/>
      <c r="G222" s="1"/>
      <c r="H222" s="1"/>
      <c r="I222" s="1"/>
      <c r="J222" s="1"/>
      <c r="K222" s="1" t="s">
        <v>514</v>
      </c>
      <c r="L222" s="1" t="s">
        <v>553</v>
      </c>
      <c r="M222" s="1"/>
      <c r="N222" s="1"/>
      <c r="O222" s="1"/>
      <c r="P222" s="1"/>
      <c r="Q222" s="1"/>
      <c r="R222" s="1"/>
      <c r="S222" s="1"/>
      <c r="T222" s="1"/>
      <c r="U222" s="49"/>
      <c r="V222" s="49"/>
      <c r="W222" s="49"/>
    </row>
    <row r="223" spans="1:47">
      <c r="A223" s="49"/>
      <c r="B223" s="49"/>
      <c r="C223" s="49"/>
      <c r="D223" s="49"/>
      <c r="E223" s="49"/>
      <c r="F223" s="49"/>
      <c r="G223" s="49"/>
      <c r="H223" s="49"/>
      <c r="I223" s="49"/>
      <c r="J223" s="49"/>
      <c r="K223" s="49"/>
      <c r="L223" s="49"/>
      <c r="M223" s="49"/>
      <c r="N223" s="49"/>
      <c r="O223" s="49"/>
      <c r="P223" s="49"/>
      <c r="Q223" s="49"/>
      <c r="R223" s="49"/>
      <c r="S223" s="49"/>
      <c r="T223" s="49"/>
      <c r="U223" s="49"/>
      <c r="V223" s="49"/>
      <c r="W223" s="49"/>
    </row>
    <row r="224" spans="1:47">
      <c r="A224" s="49"/>
      <c r="B224" s="49"/>
      <c r="C224" s="49"/>
      <c r="D224" s="49"/>
      <c r="E224" s="49"/>
      <c r="F224" s="49"/>
      <c r="G224" s="49"/>
      <c r="H224" s="49"/>
      <c r="I224" s="49"/>
      <c r="J224" s="49"/>
      <c r="K224" s="49"/>
      <c r="L224" s="49"/>
      <c r="M224" s="49"/>
      <c r="N224" s="49"/>
      <c r="O224" s="49"/>
      <c r="P224" s="49"/>
      <c r="Q224" s="49"/>
      <c r="R224" s="49"/>
      <c r="S224" s="49"/>
      <c r="T224" s="49"/>
      <c r="U224" s="49"/>
      <c r="V224" s="49"/>
      <c r="W224" s="49"/>
    </row>
    <row r="225" spans="1:47">
      <c r="A225" s="49"/>
      <c r="B225" s="49"/>
      <c r="C225" s="49"/>
      <c r="D225" s="49"/>
      <c r="E225" s="49"/>
      <c r="F225" s="49"/>
      <c r="G225" s="49"/>
      <c r="H225" s="49"/>
      <c r="I225" s="49"/>
      <c r="J225" s="49"/>
      <c r="K225" s="49"/>
      <c r="L225" s="49"/>
      <c r="M225" s="49"/>
      <c r="N225" s="49"/>
      <c r="O225" s="49"/>
      <c r="P225" s="49"/>
      <c r="Q225" s="49"/>
      <c r="R225" s="49"/>
      <c r="S225" s="49"/>
      <c r="T225" s="49"/>
      <c r="U225" s="49"/>
      <c r="V225" s="49"/>
      <c r="W225" s="49"/>
    </row>
    <row r="226" spans="1:47">
      <c r="A226" s="49"/>
      <c r="B226" s="49"/>
      <c r="C226" s="49"/>
      <c r="D226" s="49"/>
      <c r="E226" s="49"/>
      <c r="F226" s="49"/>
      <c r="G226" s="49"/>
      <c r="H226" s="49"/>
      <c r="I226" s="49"/>
      <c r="J226" s="49"/>
      <c r="K226" s="49"/>
      <c r="L226" s="49"/>
      <c r="M226" s="49"/>
      <c r="N226" s="49"/>
      <c r="O226" s="49"/>
      <c r="P226" s="49"/>
      <c r="Q226" s="49"/>
      <c r="R226" s="49"/>
      <c r="S226" s="49"/>
      <c r="T226" s="49"/>
      <c r="U226" s="49"/>
      <c r="V226" s="49"/>
      <c r="W226" s="49"/>
      <c r="AB226" s="303">
        <f t="shared" ref="AB226" si="324">AC226-1</f>
        <v>35</v>
      </c>
      <c r="AC226" s="303">
        <f t="shared" ref="AC226" si="325">AD226-1</f>
        <v>36</v>
      </c>
      <c r="AD226" s="303">
        <f t="shared" ref="AD226" si="326">AE226-1</f>
        <v>37</v>
      </c>
      <c r="AE226" s="303">
        <f t="shared" ref="AE226" si="327">AF226-1</f>
        <v>38</v>
      </c>
      <c r="AF226" s="303">
        <f t="shared" ref="AF226" si="328">AG226-1</f>
        <v>39</v>
      </c>
      <c r="AG226" s="303">
        <f t="shared" ref="AG226" si="329">AH226-1</f>
        <v>40</v>
      </c>
      <c r="AH226" s="303">
        <f t="shared" ref="AH226" si="330">AI226-1</f>
        <v>41</v>
      </c>
      <c r="AI226" s="303">
        <f t="shared" ref="AI226" si="331">AJ226-1</f>
        <v>42</v>
      </c>
      <c r="AJ226" s="303">
        <f t="shared" ref="AJ226" si="332">AK226-1</f>
        <v>43</v>
      </c>
      <c r="AK226" s="303">
        <f t="shared" ref="AK226" si="333">AL226-1</f>
        <v>44</v>
      </c>
      <c r="AL226" s="303">
        <f t="shared" ref="AL226" si="334">AM226-1</f>
        <v>45</v>
      </c>
      <c r="AM226" s="303">
        <f t="shared" ref="AM226" si="335">AN226-1</f>
        <v>46</v>
      </c>
      <c r="AN226" s="303">
        <f t="shared" ref="AN226" si="336">AO226-1</f>
        <v>47</v>
      </c>
      <c r="AO226" s="303">
        <f t="shared" ref="AO226" si="337">AP226-1</f>
        <v>48</v>
      </c>
      <c r="AP226" s="303">
        <f t="shared" ref="AP226" si="338">AQ226-1</f>
        <v>49</v>
      </c>
      <c r="AQ226" s="303">
        <f t="shared" ref="AQ226" si="339">AR226-1</f>
        <v>50</v>
      </c>
      <c r="AR226" s="303">
        <f t="shared" ref="AR226" si="340">AS226-1</f>
        <v>51</v>
      </c>
      <c r="AS226" s="303">
        <f t="shared" ref="AS226" si="341">AT226-1</f>
        <v>52</v>
      </c>
      <c r="AT226" s="303">
        <f t="shared" ref="AT226" si="342">AU226-1</f>
        <v>53</v>
      </c>
      <c r="AU226" s="303">
        <f>VLOOKUP(AU227,Dates!$A:$D,2,FALSE)</f>
        <v>54</v>
      </c>
    </row>
    <row r="227" spans="1:47">
      <c r="A227" s="49"/>
      <c r="B227" s="49"/>
      <c r="C227" s="49"/>
      <c r="D227" s="49"/>
      <c r="E227" s="49"/>
      <c r="F227" s="49"/>
      <c r="G227" s="49"/>
      <c r="H227" s="49"/>
      <c r="I227" s="49"/>
      <c r="J227" s="49"/>
      <c r="K227" s="49"/>
      <c r="L227" s="49"/>
      <c r="M227" s="49"/>
      <c r="N227" s="49"/>
      <c r="O227" s="49"/>
      <c r="P227" s="49"/>
      <c r="Q227" s="49"/>
      <c r="R227" s="49"/>
      <c r="S227" s="49"/>
      <c r="T227" s="49"/>
      <c r="U227" s="49"/>
      <c r="V227" s="49"/>
      <c r="W227" s="49"/>
      <c r="AB227" s="303" t="str">
        <f>IFERROR(VLOOKUP(AB226,Dates!$B:$D,3,FALSE),"")</f>
        <v>3Q20</v>
      </c>
      <c r="AC227" s="303" t="str">
        <f>IFERROR(VLOOKUP(AC226,Dates!$B:$D,3,FALSE),"")</f>
        <v>4Q20</v>
      </c>
      <c r="AD227" s="303" t="str">
        <f>IFERROR(VLOOKUP(AD226,Dates!$B:$D,3,FALSE),"")</f>
        <v>1Q21</v>
      </c>
      <c r="AE227" s="303" t="str">
        <f>IFERROR(VLOOKUP(AE226,Dates!$B:$D,3,FALSE),"")</f>
        <v>2Q21</v>
      </c>
      <c r="AF227" s="303" t="str">
        <f>IFERROR(VLOOKUP(AF226,Dates!$B:$D,3,FALSE),"")</f>
        <v>3Q21</v>
      </c>
      <c r="AG227" s="303" t="str">
        <f>IFERROR(VLOOKUP(AG226,Dates!$B:$D,3,FALSE),"")</f>
        <v>4Q21</v>
      </c>
      <c r="AH227" s="303" t="str">
        <f>IFERROR(VLOOKUP(AH226,Dates!$B:$D,3,FALSE),"")</f>
        <v>1Q22</v>
      </c>
      <c r="AI227" s="303" t="str">
        <f>IFERROR(VLOOKUP(AI226,Dates!$B:$D,3,FALSE),"")</f>
        <v>2Q22</v>
      </c>
      <c r="AJ227" s="303" t="str">
        <f>IFERROR(VLOOKUP(AJ226,Dates!$B:$D,3,FALSE),"")</f>
        <v>3Q22</v>
      </c>
      <c r="AK227" s="303" t="str">
        <f>IFERROR(VLOOKUP(AK226,Dates!$B:$D,3,FALSE),"")</f>
        <v>4Q22</v>
      </c>
      <c r="AL227" s="303" t="str">
        <f>IFERROR(VLOOKUP(AL226,Dates!$B:$D,3,FALSE),"")</f>
        <v>1Q23</v>
      </c>
      <c r="AM227" s="303" t="str">
        <f>IFERROR(VLOOKUP(AM226,Dates!$B:$D,3,FALSE),"")</f>
        <v>2Q23</v>
      </c>
      <c r="AN227" s="303" t="str">
        <f>IFERROR(VLOOKUP(AN226,Dates!$B:$D,3,FALSE),"")</f>
        <v>3Q23</v>
      </c>
      <c r="AO227" s="303" t="str">
        <f>IFERROR(VLOOKUP(AO226,Dates!$B:$D,3,FALSE),"")</f>
        <v>4Q23</v>
      </c>
      <c r="AP227" s="303" t="str">
        <f>IFERROR(VLOOKUP(AP226,Dates!$B:$D,3,FALSE),"")</f>
        <v>1Q24</v>
      </c>
      <c r="AQ227" s="303" t="str">
        <f>IFERROR(VLOOKUP(AQ226,Dates!$B:$D,3,FALSE),"")</f>
        <v>2Q24</v>
      </c>
      <c r="AR227" s="303" t="str">
        <f>IFERROR(VLOOKUP(AR226,Dates!$B:$D,3,FALSE),"")</f>
        <v>3Q24</v>
      </c>
      <c r="AS227" s="303" t="str">
        <f>IFERROR(VLOOKUP(AS226,Dates!$B:$D,3,FALSE),"")</f>
        <v>4Q24</v>
      </c>
      <c r="AT227" s="303" t="str">
        <f>IFERROR(VLOOKUP(AT226,Dates!$B:$D,3,FALSE),"")</f>
        <v>1Q25</v>
      </c>
      <c r="AU227" s="315" t="str">
        <f>$G$3</f>
        <v>2Q25</v>
      </c>
    </row>
    <row r="228" spans="1:47">
      <c r="A228" s="49"/>
      <c r="B228" s="49"/>
      <c r="C228" s="49"/>
      <c r="D228" s="49"/>
      <c r="E228" s="49"/>
      <c r="F228" s="49"/>
      <c r="G228" s="49"/>
      <c r="H228" s="49"/>
      <c r="I228" s="49"/>
      <c r="J228" s="49"/>
      <c r="K228" s="49"/>
      <c r="L228" s="49"/>
      <c r="M228" s="49"/>
      <c r="N228" s="49"/>
      <c r="O228" s="49"/>
      <c r="P228" s="49"/>
      <c r="Q228" s="49"/>
      <c r="R228" s="49"/>
      <c r="S228" s="49"/>
      <c r="T228" s="49"/>
      <c r="U228" s="49"/>
      <c r="V228" s="49"/>
      <c r="W228" s="49"/>
      <c r="AA228" s="316" t="str">
        <f>'Domestic Mobile Financials'!A6</f>
        <v>EBITDA</v>
      </c>
      <c r="AB228" s="317">
        <f>IFERROR(INDEX('Domestic Mobile Financials'!$A:$ABB,MATCH($AA228,'Domestic Mobile Financials'!$A:$A,0),MATCH(AB227,'Domestic Mobile Financials'!$1:$1,0)),"")</f>
        <v>40109.023235999979</v>
      </c>
      <c r="AC228" s="317">
        <f>IFERROR(INDEX('Domestic Mobile Financials'!$A:$ABB,MATCH($AA228,'Domestic Mobile Financials'!$A:$A,0),MATCH(AC227,'Domestic Mobile Financials'!$1:$1,0)),"")</f>
        <v>50795.573455490055</v>
      </c>
      <c r="AD228" s="317">
        <f>IFERROR(INDEX('Domestic Mobile Financials'!$A:$ABB,MATCH($AA228,'Domestic Mobile Financials'!$A:$A,0),MATCH(AD227,'Domestic Mobile Financials'!$1:$1,0)),"")</f>
        <v>52227.34835800001</v>
      </c>
      <c r="AE228" s="317">
        <f>IFERROR(INDEX('Domestic Mobile Financials'!$A:$ABB,MATCH($AA228,'Domestic Mobile Financials'!$A:$A,0),MATCH(AE227,'Domestic Mobile Financials'!$1:$1,0)),"")</f>
        <v>58919.083494999948</v>
      </c>
      <c r="AF228" s="317">
        <f>IFERROR(INDEX('Domestic Mobile Financials'!$A:$ABB,MATCH($AA228,'Domestic Mobile Financials'!$A:$A,0),MATCH(AF227,'Domestic Mobile Financials'!$1:$1,0)),"")</f>
        <v>64598.766257000018</v>
      </c>
      <c r="AG228" s="317">
        <f>IFERROR(INDEX('Domestic Mobile Financials'!$A:$ABB,MATCH($AA228,'Domestic Mobile Financials'!$A:$A,0),MATCH(AG227,'Domestic Mobile Financials'!$1:$1,0)),"")</f>
        <v>66896.953566000127</v>
      </c>
      <c r="AH228" s="317">
        <f>IFERROR(INDEX('Domestic Mobile Financials'!$A:$ABB,MATCH($AA228,'Domestic Mobile Financials'!$A:$A,0),MATCH(AH227,'Domestic Mobile Financials'!$1:$1,0)),"")</f>
        <v>70335.220085719993</v>
      </c>
      <c r="AI228" s="317">
        <f>IFERROR(INDEX('Domestic Mobile Financials'!$A:$ABB,MATCH($AA228,'Domestic Mobile Financials'!$A:$A,0),MATCH(AI227,'Domestic Mobile Financials'!$1:$1,0)),"")</f>
        <v>74679</v>
      </c>
      <c r="AJ228" s="317">
        <f>IFERROR(INDEX('Domestic Mobile Financials'!$A:$ABB,MATCH($AA228,'Domestic Mobile Financials'!$A:$A,0),MATCH(AJ227,'Domestic Mobile Financials'!$1:$1,0)),"")</f>
        <v>78962.476355852035</v>
      </c>
      <c r="AK228" s="317">
        <f>IFERROR(INDEX('Domestic Mobile Financials'!$A:$ABB,MATCH($AA228,'Domestic Mobile Financials'!$A:$A,0),MATCH(AK227,'Domestic Mobile Financials'!$1:$1,0)),"")</f>
        <v>88599.264398901811</v>
      </c>
      <c r="AL228" s="317">
        <f>IFERROR(INDEX('Domestic Mobile Financials'!$A:$ABB,MATCH($AA228,'Domestic Mobile Financials'!$A:$A,0),MATCH(AL227,'Domestic Mobile Financials'!$1:$1,0)),"")</f>
        <v>92666.831511270284</v>
      </c>
      <c r="AM228" s="317">
        <f>IFERROR(INDEX('Domestic Mobile Financials'!$A:$ABB,MATCH($AA228,'Domestic Mobile Financials'!$A:$A,0),MATCH(AM227,'Domestic Mobile Financials'!$1:$1,0)),"")</f>
        <v>98736.162186745802</v>
      </c>
      <c r="AN228" s="317">
        <f>IFERROR(INDEX('Domestic Mobile Financials'!$A:$ABB,MATCH($AA228,'Domestic Mobile Financials'!$A:$A,0),MATCH(AN227,'Domestic Mobile Financials'!$1:$1,0)),"")</f>
        <v>104121.31686903587</v>
      </c>
      <c r="AO228" s="317">
        <f>IFERROR(INDEX('Domestic Mobile Financials'!$A:$ABB,MATCH($AA228,'Domestic Mobile Financials'!$A:$A,0),MATCH(AO227,'Domestic Mobile Financials'!$1:$1,0)),"")</f>
        <v>105226.97681459524</v>
      </c>
      <c r="AP228" s="317">
        <f>IFERROR(INDEX('Domestic Mobile Financials'!$A:$ABB,MATCH($AA228,'Domestic Mobile Financials'!$A:$A,0),MATCH(AP227,'Domestic Mobile Financials'!$1:$1,0)),"")</f>
        <v>111664.93428699998</v>
      </c>
      <c r="AQ228" s="317">
        <f>IFERROR(INDEX('Domestic Mobile Financials'!$A:$ABB,MATCH($AA228,'Domestic Mobile Financials'!$A:$A,0),MATCH(AQ227,'Domestic Mobile Financials'!$1:$1,0)),"")</f>
        <v>115039.43971699997</v>
      </c>
      <c r="AR228" s="317">
        <f>IFERROR(INDEX('Domestic Mobile Financials'!$A:$ABB,MATCH($AA228,'Domestic Mobile Financials'!$A:$A,0),MATCH(AR227,'Domestic Mobile Financials'!$1:$1,0)),"")</f>
        <v>119239.74851200011</v>
      </c>
      <c r="AS228" s="317">
        <f>IFERROR(INDEX('Domestic Mobile Financials'!$A:$ABB,MATCH($AA228,'Domestic Mobile Financials'!$A:$A,0),MATCH(AS227,'Domestic Mobile Financials'!$1:$1,0)),"")</f>
        <v>121607.10500399992</v>
      </c>
      <c r="AT228" s="317">
        <f>IFERROR(INDEX('Domestic Mobile Financials'!$A:$ABB,MATCH($AA228,'Domestic Mobile Financials'!$A:$A,0),MATCH(AT227,'Domestic Mobile Financials'!$1:$1,0)),"")</f>
        <v>125274</v>
      </c>
      <c r="AU228" s="317">
        <f>IFERROR(INDEX('Domestic Mobile Financials'!$A:$ABB,MATCH($AA228,'Domestic Mobile Financials'!$A:$A,0),MATCH(AU227,'Domestic Mobile Financials'!$1:$1,0)),"")</f>
        <v>141710</v>
      </c>
    </row>
    <row r="229" spans="1:47">
      <c r="A229" s="49"/>
      <c r="B229" s="49"/>
      <c r="C229" s="49"/>
      <c r="D229" s="49"/>
      <c r="E229" s="49"/>
      <c r="F229" s="49"/>
      <c r="G229" s="49"/>
      <c r="H229" s="49"/>
      <c r="I229" s="49"/>
      <c r="J229" s="49"/>
      <c r="K229" s="49"/>
      <c r="L229" s="49"/>
      <c r="M229" s="49"/>
      <c r="N229" s="49"/>
      <c r="O229" s="49"/>
      <c r="P229" s="49"/>
      <c r="Q229" s="49"/>
      <c r="R229" s="49"/>
      <c r="S229" s="49"/>
      <c r="T229" s="49"/>
      <c r="U229" s="49"/>
      <c r="V229" s="49"/>
      <c r="W229" s="49"/>
      <c r="AA229" s="316" t="str">
        <f>'Domestic Mobile Financials'!A18</f>
        <v>EBITDA Growth YoY</v>
      </c>
      <c r="AB229" s="318">
        <f>IFERROR(INDEX('Domestic Mobile Financials'!$A:$ABB,MATCH($AA229,'Domestic Mobile Financials'!$A:$A,0),MATCH(AB227,'Domestic Mobile Financials'!$1:$1,0)),"")</f>
        <v>1.057131301584211</v>
      </c>
      <c r="AC229" s="318">
        <f>IFERROR(INDEX('Domestic Mobile Financials'!$A:$ABB,MATCH($AA229,'Domestic Mobile Financials'!$A:$A,0),MATCH(AC227,'Domestic Mobile Financials'!$1:$1,0)),"")</f>
        <v>0.97978190699524492</v>
      </c>
      <c r="AD229" s="318">
        <f>IFERROR(INDEX('Domestic Mobile Financials'!$A:$ABB,MATCH($AA229,'Domestic Mobile Financials'!$A:$A,0),MATCH(AD227,'Domestic Mobile Financials'!$1:$1,0)),"")</f>
        <v>0.34808173767235795</v>
      </c>
      <c r="AE229" s="318">
        <f>IFERROR(INDEX('Domestic Mobile Financials'!$A:$ABB,MATCH($AA229,'Domestic Mobile Financials'!$A:$A,0),MATCH(AE227,'Domestic Mobile Financials'!$1:$1,0)),"")</f>
        <v>0.47618779583093107</v>
      </c>
      <c r="AF229" s="318">
        <f>IFERROR(INDEX('Domestic Mobile Financials'!$A:$ABB,MATCH($AA229,'Domestic Mobile Financials'!$A:$A,0),MATCH(AF227,'Domestic Mobile Financials'!$1:$1,0)),"")</f>
        <v>0.61057939199624278</v>
      </c>
      <c r="AG229" s="318">
        <f>IFERROR(INDEX('Domestic Mobile Financials'!$A:$ABB,MATCH($AA229,'Domestic Mobile Financials'!$A:$A,0),MATCH(AG227,'Domestic Mobile Financials'!$1:$1,0)),"")</f>
        <v>0.31698392232187333</v>
      </c>
      <c r="AH229" s="318">
        <f>IFERROR(INDEX('Domestic Mobile Financials'!$A:$ABB,MATCH($AA229,'Domestic Mobile Financials'!$A:$A,0),MATCH(AH227,'Domestic Mobile Financials'!$1:$1,0)),"")</f>
        <v>0.34671244658252465</v>
      </c>
      <c r="AI229" s="318">
        <f>IFERROR(INDEX('Domestic Mobile Financials'!$A:$ABB,MATCH($AA229,'Domestic Mobile Financials'!$A:$A,0),MATCH(AI227,'Domestic Mobile Financials'!$1:$1,0)),"")</f>
        <v>0.26748407426156739</v>
      </c>
      <c r="AJ229" s="318">
        <f>IFERROR(INDEX('Domestic Mobile Financials'!$A:$ABB,MATCH($AA229,'Domestic Mobile Financials'!$A:$A,0),MATCH(AJ227,'Domestic Mobile Financials'!$1:$1,0)),"")</f>
        <v>0.22235270007645913</v>
      </c>
      <c r="AK229" s="318">
        <f>IFERROR(INDEX('Domestic Mobile Financials'!$A:$ABB,MATCH($AA229,'Domestic Mobile Financials'!$A:$A,0),MATCH(AK227,'Domestic Mobile Financials'!$1:$1,0)),"")</f>
        <v>0.32441403795002888</v>
      </c>
      <c r="AL229" s="318">
        <f>IFERROR(INDEX('Domestic Mobile Financials'!$A:$ABB,MATCH($AA229,'Domestic Mobile Financials'!$A:$A,0),MATCH(AL227,'Domestic Mobile Financials'!$1:$1,0)),"")</f>
        <v>0.3175025456426237</v>
      </c>
      <c r="AM229" s="318">
        <f>IFERROR(INDEX('Domestic Mobile Financials'!$A:$ABB,MATCH($AA229,'Domestic Mobile Financials'!$A:$A,0),MATCH(AM227,'Domestic Mobile Financials'!$1:$1,0)),"")</f>
        <v>0.32214092565173336</v>
      </c>
      <c r="AN229" s="318">
        <f>IFERROR(INDEX('Domestic Mobile Financials'!$A:$ABB,MATCH($AA229,'Domestic Mobile Financials'!$A:$A,0),MATCH(AN227,'Domestic Mobile Financials'!$1:$1,0)),"")</f>
        <v>0.31861767353651738</v>
      </c>
      <c r="AO229" s="318">
        <f>IFERROR(INDEX('Domestic Mobile Financials'!$A:$ABB,MATCH($AA229,'Domestic Mobile Financials'!$A:$A,0),MATCH(AO227,'Domestic Mobile Financials'!$1:$1,0)),"")</f>
        <v>0.18767325585041239</v>
      </c>
      <c r="AP229" s="318">
        <f>IFERROR(INDEX('Domestic Mobile Financials'!$A:$ABB,MATCH($AA229,'Domestic Mobile Financials'!$A:$A,0),MATCH(AP227,'Domestic Mobile Financials'!$1:$1,0)),"")</f>
        <v>0.205015132878684</v>
      </c>
      <c r="AQ229" s="318">
        <f>IFERROR(INDEX('Domestic Mobile Financials'!$A:$ABB,MATCH($AA229,'Domestic Mobile Financials'!$A:$A,0),MATCH(AQ227,'Domestic Mobile Financials'!$1:$1,0)),"")</f>
        <v>0.16511961949076737</v>
      </c>
      <c r="AR229" s="318">
        <f>IFERROR(INDEX('Domestic Mobile Financials'!$A:$ABB,MATCH($AA229,'Domestic Mobile Financials'!$A:$A,0),MATCH(AR227,'Domestic Mobile Financials'!$1:$1,0)),"")</f>
        <v>0.14520015783108331</v>
      </c>
      <c r="AS229" s="318">
        <f>IFERROR(INDEX('Domestic Mobile Financials'!$A:$ABB,MATCH($AA229,'Domestic Mobile Financials'!$A:$A,0),MATCH(AS227,'Domestic Mobile Financials'!$1:$1,0)),"")</f>
        <v>0.15566472291858835</v>
      </c>
      <c r="AT229" s="318">
        <f>IFERROR(INDEX('Domestic Mobile Financials'!$A:$ABB,MATCH($AA229,'Domestic Mobile Financials'!$A:$A,0),MATCH(AT227,'Domestic Mobile Financials'!$1:$1,0)),"")</f>
        <v>0.12187412100223116</v>
      </c>
      <c r="AU229" s="318">
        <f>IFERROR(INDEX('Domestic Mobile Financials'!$A:$ABB,MATCH($AA229,'Domestic Mobile Financials'!$A:$A,0),MATCH(AU227,'Domestic Mobile Financials'!$1:$1,0)),"")</f>
        <v>0.23183840558168844</v>
      </c>
    </row>
    <row r="230" spans="1:47">
      <c r="A230" s="49"/>
      <c r="B230" s="49"/>
      <c r="C230" s="49"/>
      <c r="D230" s="49"/>
      <c r="E230" s="49"/>
      <c r="F230" s="49"/>
      <c r="G230" s="49"/>
      <c r="H230" s="49"/>
      <c r="I230" s="49"/>
      <c r="J230" s="49"/>
      <c r="K230" s="49"/>
      <c r="L230" s="49"/>
      <c r="M230" s="49"/>
      <c r="N230" s="49"/>
      <c r="O230" s="49"/>
      <c r="P230" s="49"/>
      <c r="Q230" s="49"/>
      <c r="R230" s="49"/>
      <c r="S230" s="49"/>
      <c r="T230" s="49"/>
      <c r="U230" s="49"/>
      <c r="V230" s="49"/>
      <c r="W230" s="49"/>
    </row>
    <row r="231" spans="1:47">
      <c r="A231" s="49"/>
      <c r="B231" s="49"/>
      <c r="C231" s="49"/>
      <c r="D231" s="49"/>
      <c r="E231" s="49"/>
      <c r="F231" s="49"/>
      <c r="G231" s="49"/>
      <c r="H231" s="49"/>
      <c r="I231" s="49"/>
      <c r="J231" s="49"/>
      <c r="K231" s="49"/>
      <c r="L231" s="49"/>
      <c r="M231" s="49"/>
      <c r="N231" s="49"/>
      <c r="O231" s="49"/>
      <c r="P231" s="49"/>
      <c r="Q231" s="49"/>
      <c r="R231" s="49"/>
      <c r="S231" s="49"/>
      <c r="T231" s="49"/>
      <c r="U231" s="49"/>
      <c r="V231" s="49"/>
      <c r="W231" s="49"/>
    </row>
    <row r="232" spans="1:47">
      <c r="A232" s="49"/>
      <c r="B232" s="49"/>
      <c r="C232" s="49"/>
      <c r="D232" s="49"/>
      <c r="E232" s="49"/>
      <c r="F232" s="49"/>
      <c r="G232" s="49"/>
      <c r="H232" s="49"/>
      <c r="I232" s="49"/>
      <c r="J232" s="49"/>
      <c r="K232" s="49"/>
      <c r="L232" s="49"/>
      <c r="M232" s="49"/>
      <c r="N232" s="49"/>
      <c r="O232" s="49"/>
      <c r="P232" s="49"/>
      <c r="Q232" s="49"/>
      <c r="R232" s="49"/>
      <c r="S232" s="49"/>
      <c r="T232" s="49"/>
      <c r="U232" s="49"/>
      <c r="V232" s="49"/>
      <c r="W232" s="49"/>
      <c r="AB232" s="303">
        <f t="shared" ref="AB232" si="343">AC232-1</f>
        <v>35</v>
      </c>
      <c r="AC232" s="303">
        <f t="shared" ref="AC232" si="344">AD232-1</f>
        <v>36</v>
      </c>
      <c r="AD232" s="303">
        <f t="shared" ref="AD232" si="345">AE232-1</f>
        <v>37</v>
      </c>
      <c r="AE232" s="303">
        <f t="shared" ref="AE232" si="346">AF232-1</f>
        <v>38</v>
      </c>
      <c r="AF232" s="303">
        <f t="shared" ref="AF232" si="347">AG232-1</f>
        <v>39</v>
      </c>
      <c r="AG232" s="303">
        <f t="shared" ref="AG232" si="348">AH232-1</f>
        <v>40</v>
      </c>
      <c r="AH232" s="303">
        <f t="shared" ref="AH232" si="349">AI232-1</f>
        <v>41</v>
      </c>
      <c r="AI232" s="303">
        <f t="shared" ref="AI232" si="350">AJ232-1</f>
        <v>42</v>
      </c>
      <c r="AJ232" s="303">
        <f t="shared" ref="AJ232" si="351">AK232-1</f>
        <v>43</v>
      </c>
      <c r="AK232" s="303">
        <f t="shared" ref="AK232" si="352">AL232-1</f>
        <v>44</v>
      </c>
      <c r="AL232" s="303">
        <f t="shared" ref="AL232" si="353">AM232-1</f>
        <v>45</v>
      </c>
      <c r="AM232" s="303">
        <f t="shared" ref="AM232" si="354">AN232-1</f>
        <v>46</v>
      </c>
      <c r="AN232" s="303">
        <f t="shared" ref="AN232" si="355">AO232-1</f>
        <v>47</v>
      </c>
      <c r="AO232" s="303">
        <f t="shared" ref="AO232" si="356">AP232-1</f>
        <v>48</v>
      </c>
      <c r="AP232" s="303">
        <f t="shared" ref="AP232" si="357">AQ232-1</f>
        <v>49</v>
      </c>
      <c r="AQ232" s="303">
        <f t="shared" ref="AQ232" si="358">AR232-1</f>
        <v>50</v>
      </c>
      <c r="AR232" s="303">
        <f t="shared" ref="AR232" si="359">AS232-1</f>
        <v>51</v>
      </c>
      <c r="AS232" s="303">
        <f t="shared" ref="AS232" si="360">AT232-1</f>
        <v>52</v>
      </c>
      <c r="AT232" s="303">
        <f t="shared" ref="AT232" si="361">AU232-1</f>
        <v>53</v>
      </c>
      <c r="AU232" s="303">
        <f>VLOOKUP(AU233,Dates!$A:$D,2,FALSE)</f>
        <v>54</v>
      </c>
    </row>
    <row r="233" spans="1:47">
      <c r="A233" s="49"/>
      <c r="B233" s="49"/>
      <c r="C233" s="49"/>
      <c r="D233" s="49"/>
      <c r="E233" s="49"/>
      <c r="F233" s="49"/>
      <c r="G233" s="49"/>
      <c r="H233" s="49"/>
      <c r="I233" s="49"/>
      <c r="J233" s="49"/>
      <c r="K233" s="49"/>
      <c r="L233" s="49"/>
      <c r="M233" s="49"/>
      <c r="N233" s="49"/>
      <c r="O233" s="49"/>
      <c r="P233" s="49"/>
      <c r="Q233" s="49"/>
      <c r="R233" s="49"/>
      <c r="S233" s="49"/>
      <c r="T233" s="49"/>
      <c r="U233" s="49"/>
      <c r="V233" s="49"/>
      <c r="W233" s="49"/>
      <c r="AB233" s="303" t="str">
        <f>IFERROR(VLOOKUP(AB232,Dates!$B:$D,3,FALSE),"")</f>
        <v>3Q20</v>
      </c>
      <c r="AC233" s="303" t="str">
        <f>IFERROR(VLOOKUP(AC232,Dates!$B:$D,3,FALSE),"")</f>
        <v>4Q20</v>
      </c>
      <c r="AD233" s="303" t="str">
        <f>IFERROR(VLOOKUP(AD232,Dates!$B:$D,3,FALSE),"")</f>
        <v>1Q21</v>
      </c>
      <c r="AE233" s="303" t="str">
        <f>IFERROR(VLOOKUP(AE232,Dates!$B:$D,3,FALSE),"")</f>
        <v>2Q21</v>
      </c>
      <c r="AF233" s="303" t="str">
        <f>IFERROR(VLOOKUP(AF232,Dates!$B:$D,3,FALSE),"")</f>
        <v>3Q21</v>
      </c>
      <c r="AG233" s="303" t="str">
        <f>IFERROR(VLOOKUP(AG232,Dates!$B:$D,3,FALSE),"")</f>
        <v>4Q21</v>
      </c>
      <c r="AH233" s="303" t="str">
        <f>IFERROR(VLOOKUP(AH232,Dates!$B:$D,3,FALSE),"")</f>
        <v>1Q22</v>
      </c>
      <c r="AI233" s="303" t="str">
        <f>IFERROR(VLOOKUP(AI232,Dates!$B:$D,3,FALSE),"")</f>
        <v>2Q22</v>
      </c>
      <c r="AJ233" s="303" t="str">
        <f>IFERROR(VLOOKUP(AJ232,Dates!$B:$D,3,FALSE),"")</f>
        <v>3Q22</v>
      </c>
      <c r="AK233" s="303" t="str">
        <f>IFERROR(VLOOKUP(AK232,Dates!$B:$D,3,FALSE),"")</f>
        <v>4Q22</v>
      </c>
      <c r="AL233" s="303" t="str">
        <f>IFERROR(VLOOKUP(AL232,Dates!$B:$D,3,FALSE),"")</f>
        <v>1Q23</v>
      </c>
      <c r="AM233" s="303" t="str">
        <f>IFERROR(VLOOKUP(AM232,Dates!$B:$D,3,FALSE),"")</f>
        <v>2Q23</v>
      </c>
      <c r="AN233" s="303" t="str">
        <f>IFERROR(VLOOKUP(AN232,Dates!$B:$D,3,FALSE),"")</f>
        <v>3Q23</v>
      </c>
      <c r="AO233" s="303" t="str">
        <f>IFERROR(VLOOKUP(AO232,Dates!$B:$D,3,FALSE),"")</f>
        <v>4Q23</v>
      </c>
      <c r="AP233" s="303" t="str">
        <f>IFERROR(VLOOKUP(AP232,Dates!$B:$D,3,FALSE),"")</f>
        <v>1Q24</v>
      </c>
      <c r="AQ233" s="303" t="str">
        <f>IFERROR(VLOOKUP(AQ232,Dates!$B:$D,3,FALSE),"")</f>
        <v>2Q24</v>
      </c>
      <c r="AR233" s="303" t="str">
        <f>IFERROR(VLOOKUP(AR232,Dates!$B:$D,3,FALSE),"")</f>
        <v>3Q24</v>
      </c>
      <c r="AS233" s="303" t="str">
        <f>IFERROR(VLOOKUP(AS232,Dates!$B:$D,3,FALSE),"")</f>
        <v>4Q24</v>
      </c>
      <c r="AT233" s="303" t="str">
        <f>IFERROR(VLOOKUP(AT232,Dates!$B:$D,3,FALSE),"")</f>
        <v>1Q25</v>
      </c>
      <c r="AU233" s="315" t="str">
        <f>$G$3</f>
        <v>2Q25</v>
      </c>
    </row>
    <row r="234" spans="1:47">
      <c r="A234" s="49"/>
      <c r="B234" s="49"/>
      <c r="C234" s="49"/>
      <c r="D234" s="49"/>
      <c r="E234" s="49"/>
      <c r="F234" s="49"/>
      <c r="G234" s="49"/>
      <c r="H234" s="49"/>
      <c r="I234" s="49"/>
      <c r="J234" s="49"/>
      <c r="K234" s="49"/>
      <c r="L234" s="49"/>
      <c r="M234" s="49"/>
      <c r="N234" s="49"/>
      <c r="O234" s="49"/>
      <c r="P234" s="49"/>
      <c r="Q234" s="49"/>
      <c r="R234" s="49"/>
      <c r="S234" s="49"/>
      <c r="T234" s="49"/>
      <c r="U234" s="49"/>
      <c r="V234" s="49"/>
      <c r="W234" s="49"/>
      <c r="AA234" s="316" t="str">
        <f>'Domestic Mobile Financials'!A21</f>
        <v>EBITDA Margin</v>
      </c>
      <c r="AB234" s="318">
        <f>IFERROR(INDEX('Domestic Mobile Financials'!$A:$ABB,MATCH($AA234,'Domestic Mobile Financials'!$A:$A,0),MATCH(AB233,'Domestic Mobile Financials'!$1:$1,0)),"")</f>
        <v>0.35922959433181106</v>
      </c>
      <c r="AC234" s="318">
        <f>IFERROR(INDEX('Domestic Mobile Financials'!$A:$ABB,MATCH($AA234,'Domestic Mobile Financials'!$A:$A,0),MATCH(AC233,'Domestic Mobile Financials'!$1:$1,0)),"")</f>
        <v>0.3921567138993603</v>
      </c>
      <c r="AD234" s="318">
        <f>IFERROR(INDEX('Domestic Mobile Financials'!$A:$ABB,MATCH($AA234,'Domestic Mobile Financials'!$A:$A,0),MATCH(AD233,'Domestic Mobile Financials'!$1:$1,0)),"")</f>
        <v>0.40558304703325743</v>
      </c>
      <c r="AE234" s="318">
        <f>IFERROR(INDEX('Domestic Mobile Financials'!$A:$ABB,MATCH($AA234,'Domestic Mobile Financials'!$A:$A,0),MATCH(AE233,'Domestic Mobile Financials'!$1:$1,0)),"")</f>
        <v>0.42596442075208102</v>
      </c>
      <c r="AF234" s="318">
        <f>IFERROR(INDEX('Domestic Mobile Financials'!$A:$ABB,MATCH($AA234,'Domestic Mobile Financials'!$A:$A,0),MATCH(AF233,'Domestic Mobile Financials'!$1:$1,0)),"")</f>
        <v>0.43710084845059677</v>
      </c>
      <c r="AG234" s="318">
        <f>IFERROR(INDEX('Domestic Mobile Financials'!$A:$ABB,MATCH($AA234,'Domestic Mobile Financials'!$A:$A,0),MATCH(AG233,'Domestic Mobile Financials'!$1:$1,0)),"")</f>
        <v>0.47513212340403538</v>
      </c>
      <c r="AH234" s="318">
        <f>IFERROR(INDEX('Domestic Mobile Financials'!$A:$ABB,MATCH($AA234,'Domestic Mobile Financials'!$A:$A,0),MATCH(AH233,'Domestic Mobile Financials'!$1:$1,0)),"")</f>
        <v>0.4916634831943939</v>
      </c>
      <c r="AI234" s="318">
        <f>IFERROR(INDEX('Domestic Mobile Financials'!$A:$ABB,MATCH($AA234,'Domestic Mobile Financials'!$A:$A,0),MATCH(AI233,'Domestic Mobile Financials'!$1:$1,0)),"")</f>
        <v>0.49158734547178007</v>
      </c>
      <c r="AJ234" s="318">
        <f>IFERROR(INDEX('Domestic Mobile Financials'!$A:$ABB,MATCH($AA234,'Domestic Mobile Financials'!$A:$A,0),MATCH(AJ233,'Domestic Mobile Financials'!$1:$1,0)),"")</f>
        <v>0.49298146393583758</v>
      </c>
      <c r="AK234" s="318">
        <f>IFERROR(INDEX('Domestic Mobile Financials'!$A:$ABB,MATCH($AA234,'Domestic Mobile Financials'!$A:$A,0),MATCH(AK233,'Domestic Mobile Financials'!$1:$1,0)),"")</f>
        <v>0.50552447969679604</v>
      </c>
      <c r="AL234" s="318">
        <f>IFERROR(INDEX('Domestic Mobile Financials'!$A:$ABB,MATCH($AA234,'Domestic Mobile Financials'!$A:$A,0),MATCH(AL233,'Domestic Mobile Financials'!$1:$1,0)),"")</f>
        <v>0.51083053936119094</v>
      </c>
      <c r="AM234" s="318">
        <f>IFERROR(INDEX('Domestic Mobile Financials'!$A:$ABB,MATCH($AA234,'Domestic Mobile Financials'!$A:$A,0),MATCH(AM233,'Domestic Mobile Financials'!$1:$1,0)),"")</f>
        <v>0.52290437655374999</v>
      </c>
      <c r="AN234" s="318">
        <f>IFERROR(INDEX('Domestic Mobile Financials'!$A:$ABB,MATCH($AA234,'Domestic Mobile Financials'!$A:$A,0),MATCH(AN233,'Domestic Mobile Financials'!$1:$1,0)),"")</f>
        <v>0.53802091856849843</v>
      </c>
      <c r="AO234" s="318">
        <f>IFERROR(INDEX('Domestic Mobile Financials'!$A:$ABB,MATCH($AA234,'Domestic Mobile Financials'!$A:$A,0),MATCH(AO233,'Domestic Mobile Financials'!$1:$1,0)),"")</f>
        <v>0.53826582507080478</v>
      </c>
      <c r="AP234" s="318">
        <f>IFERROR(INDEX('Domestic Mobile Financials'!$A:$ABB,MATCH($AA234,'Domestic Mobile Financials'!$A:$A,0),MATCH(AP233,'Domestic Mobile Financials'!$1:$1,0)),"")</f>
        <v>0.54757994353317463</v>
      </c>
      <c r="AQ234" s="318">
        <f>IFERROR(INDEX('Domestic Mobile Financials'!$A:$ABB,MATCH($AA234,'Domestic Mobile Financials'!$A:$A,0),MATCH(AQ233,'Domestic Mobile Financials'!$1:$1,0)),"")</f>
        <v>0.54905939722618291</v>
      </c>
      <c r="AR234" s="318">
        <f>IFERROR(INDEX('Domestic Mobile Financials'!$A:$ABB,MATCH($AA234,'Domestic Mobile Financials'!$A:$A,0),MATCH(AR233,'Domestic Mobile Financials'!$1:$1,0)),"")</f>
        <v>0.55105226695063769</v>
      </c>
      <c r="AS234" s="318">
        <f>IFERROR(INDEX('Domestic Mobile Financials'!$A:$ABB,MATCH($AA234,'Domestic Mobile Financials'!$A:$A,0),MATCH(AS233,'Domestic Mobile Financials'!$1:$1,0)),"")</f>
        <v>0.55111428280772523</v>
      </c>
      <c r="AT234" s="318">
        <f>IFERROR(INDEX('Domestic Mobile Financials'!$A:$ABB,MATCH($AA234,'Domestic Mobile Financials'!$A:$A,0),MATCH(AT233,'Domestic Mobile Financials'!$1:$1,0)),"")</f>
        <v>0.55609514441054997</v>
      </c>
      <c r="AU234" s="318">
        <f>IFERROR(INDEX('Domestic Mobile Financials'!$A:$ABB,MATCH($AA234,'Domestic Mobile Financials'!$A:$A,0),MATCH(AU233,'Domestic Mobile Financials'!$1:$1,0)),"")</f>
        <v>0.57055775432719602</v>
      </c>
    </row>
    <row r="235" spans="1:47">
      <c r="A235" s="49"/>
      <c r="B235" s="49"/>
      <c r="C235" s="49"/>
      <c r="D235" s="49"/>
      <c r="E235" s="49"/>
      <c r="F235" s="49"/>
      <c r="G235" s="49"/>
      <c r="H235" s="49"/>
      <c r="I235" s="49"/>
      <c r="J235" s="49"/>
      <c r="K235" s="49"/>
      <c r="L235" s="49"/>
      <c r="M235" s="49"/>
      <c r="N235" s="49"/>
      <c r="O235" s="49"/>
      <c r="P235" s="49"/>
      <c r="Q235" s="49"/>
      <c r="R235" s="49"/>
      <c r="S235" s="49"/>
      <c r="T235" s="49"/>
      <c r="U235" s="49"/>
      <c r="V235" s="49"/>
      <c r="W235" s="49"/>
      <c r="AA235" s="316" t="str">
        <f>'Domestic Mobile Financials'!A22</f>
        <v>EBITDA Margin Growth YoY</v>
      </c>
      <c r="AB235" s="318">
        <f>IFERROR(INDEX('Domestic Mobile Financials'!$A:$ABB,MATCH($AA235,'Domestic Mobile Financials'!$A:$A,0),MATCH(AB233,'Domestic Mobile Financials'!$1:$1,0)),"")</f>
        <v>0.16787786607047539</v>
      </c>
      <c r="AC235" s="318">
        <f>IFERROR(INDEX('Domestic Mobile Financials'!$A:$ABB,MATCH($AA235,'Domestic Mobile Financials'!$A:$A,0),MATCH(AC233,'Domestic Mobile Financials'!$1:$1,0)),"")</f>
        <v>0.15084199656481698</v>
      </c>
      <c r="AD235" s="318">
        <f>IFERROR(INDEX('Domestic Mobile Financials'!$A:$ABB,MATCH($AA235,'Domestic Mobile Financials'!$A:$A,0),MATCH(AD233,'Domestic Mobile Financials'!$1:$1,0)),"")</f>
        <v>4.906401511929892E-2</v>
      </c>
      <c r="AE235" s="318">
        <f>IFERROR(INDEX('Domestic Mobile Financials'!$A:$ABB,MATCH($AA235,'Domestic Mobile Financials'!$A:$A,0),MATCH(AE233,'Domestic Mobile Financials'!$1:$1,0)),"")</f>
        <v>6.250438833362798E-2</v>
      </c>
      <c r="AF235" s="318">
        <f>IFERROR(INDEX('Domestic Mobile Financials'!$A:$ABB,MATCH($AA235,'Domestic Mobile Financials'!$A:$A,0),MATCH(AF233,'Domestic Mobile Financials'!$1:$1,0)),"")</f>
        <v>7.7871254118785704E-2</v>
      </c>
      <c r="AG235" s="318">
        <f>IFERROR(INDEX('Domestic Mobile Financials'!$A:$ABB,MATCH($AA235,'Domestic Mobile Financials'!$A:$A,0),MATCH(AG233,'Domestic Mobile Financials'!$1:$1,0)),"")</f>
        <v>8.2975409504675079E-2</v>
      </c>
      <c r="AH235" s="318">
        <f>IFERROR(INDEX('Domestic Mobile Financials'!$A:$ABB,MATCH($AA235,'Domestic Mobile Financials'!$A:$A,0),MATCH(AH233,'Domestic Mobile Financials'!$1:$1,0)),"")</f>
        <v>8.6080436161136475E-2</v>
      </c>
      <c r="AI235" s="318">
        <f>IFERROR(INDEX('Domestic Mobile Financials'!$A:$ABB,MATCH($AA235,'Domestic Mobile Financials'!$A:$A,0),MATCH(AI233,'Domestic Mobile Financials'!$1:$1,0)),"")</f>
        <v>6.562292471969905E-2</v>
      </c>
      <c r="AJ235" s="318">
        <f>IFERROR(INDEX('Domestic Mobile Financials'!$A:$ABB,MATCH($AA235,'Domestic Mobile Financials'!$A:$A,0),MATCH(AJ233,'Domestic Mobile Financials'!$1:$1,0)),"")</f>
        <v>5.5880615485240814E-2</v>
      </c>
      <c r="AK235" s="318">
        <f>IFERROR(INDEX('Domestic Mobile Financials'!$A:$ABB,MATCH($AA235,'Domestic Mobile Financials'!$A:$A,0),MATCH(AK233,'Domestic Mobile Financials'!$1:$1,0)),"")</f>
        <v>3.0392356292760658E-2</v>
      </c>
      <c r="AL235" s="318">
        <f>IFERROR(INDEX('Domestic Mobile Financials'!$A:$ABB,MATCH($AA235,'Domestic Mobile Financials'!$A:$A,0),MATCH(AL233,'Domestic Mobile Financials'!$1:$1,0)),"")</f>
        <v>1.9167056166797036E-2</v>
      </c>
      <c r="AM235" s="318">
        <f>IFERROR(INDEX('Domestic Mobile Financials'!$A:$ABB,MATCH($AA235,'Domestic Mobile Financials'!$A:$A,0),MATCH(AM233,'Domestic Mobile Financials'!$1:$1,0)),"")</f>
        <v>3.1317031081969926E-2</v>
      </c>
      <c r="AN235" s="318">
        <f>IFERROR(INDEX('Domestic Mobile Financials'!$A:$ABB,MATCH($AA235,'Domestic Mobile Financials'!$A:$A,0),MATCH(AN233,'Domestic Mobile Financials'!$1:$1,0)),"")</f>
        <v>4.5039454632660847E-2</v>
      </c>
      <c r="AO235" s="318">
        <f>IFERROR(INDEX('Domestic Mobile Financials'!$A:$ABB,MATCH($AA235,'Domestic Mobile Financials'!$A:$A,0),MATCH(AO233,'Domestic Mobile Financials'!$1:$1,0)),"")</f>
        <v>3.2741345374008746E-2</v>
      </c>
      <c r="AP235" s="318">
        <f>IFERROR(INDEX('Domestic Mobile Financials'!$A:$ABB,MATCH($AA235,'Domestic Mobile Financials'!$A:$A,0),MATCH(AP233,'Domestic Mobile Financials'!$1:$1,0)),"")</f>
        <v>3.6749404171983691E-2</v>
      </c>
      <c r="AQ235" s="318">
        <f>IFERROR(INDEX('Domestic Mobile Financials'!$A:$ABB,MATCH($AA235,'Domestic Mobile Financials'!$A:$A,0),MATCH(AQ233,'Domestic Mobile Financials'!$1:$1,0)),"")</f>
        <v>2.6155020672432916E-2</v>
      </c>
      <c r="AR235" s="318">
        <f>IFERROR(INDEX('Domestic Mobile Financials'!$A:$ABB,MATCH($AA235,'Domestic Mobile Financials'!$A:$A,0),MATCH(AR233,'Domestic Mobile Financials'!$1:$1,0)),"")</f>
        <v>1.3031348382139263E-2</v>
      </c>
      <c r="AS235" s="318">
        <f>IFERROR(INDEX('Domestic Mobile Financials'!$A:$ABB,MATCH($AA235,'Domestic Mobile Financials'!$A:$A,0),MATCH(AS233,'Domestic Mobile Financials'!$1:$1,0)),"")</f>
        <v>1.2848457736920449E-2</v>
      </c>
      <c r="AT235" s="318">
        <f>IFERROR(INDEX('Domestic Mobile Financials'!$A:$ABB,MATCH($AA235,'Domestic Mobile Financials'!$A:$A,0),MATCH(AT233,'Domestic Mobile Financials'!$1:$1,0)),"")</f>
        <v>8.5152008773753396E-3</v>
      </c>
      <c r="AU235" s="318">
        <f>IFERROR(INDEX('Domestic Mobile Financials'!$A:$ABB,MATCH($AA235,'Domestic Mobile Financials'!$A:$A,0),MATCH(AU233,'Domestic Mobile Financials'!$1:$1,0)),"")</f>
        <v>2.149835710101311E-2</v>
      </c>
    </row>
    <row r="236" spans="1:47">
      <c r="A236" s="49"/>
      <c r="B236" s="49"/>
      <c r="C236" s="49"/>
      <c r="D236" s="49"/>
      <c r="E236" s="49"/>
      <c r="F236" s="49"/>
      <c r="G236" s="49"/>
      <c r="H236" s="49"/>
      <c r="I236" s="49"/>
      <c r="J236" s="49"/>
      <c r="K236" s="49"/>
      <c r="L236" s="49"/>
      <c r="M236" s="49"/>
      <c r="N236" s="49"/>
      <c r="O236" s="49"/>
      <c r="P236" s="49"/>
      <c r="Q236" s="49"/>
      <c r="R236" s="49"/>
      <c r="S236" s="49"/>
      <c r="T236" s="49"/>
      <c r="U236" s="49"/>
      <c r="V236" s="49"/>
      <c r="W236" s="49"/>
    </row>
    <row r="237" spans="1:47">
      <c r="A237" s="49"/>
      <c r="B237" s="49"/>
      <c r="C237" s="49"/>
      <c r="D237" s="49"/>
      <c r="E237" s="49"/>
      <c r="F237" s="49"/>
      <c r="G237" s="49"/>
      <c r="H237" s="49"/>
      <c r="I237" s="49"/>
      <c r="J237" s="49"/>
      <c r="K237" s="49"/>
      <c r="L237" s="49"/>
      <c r="M237" s="49"/>
      <c r="N237" s="49"/>
      <c r="O237" s="49"/>
      <c r="P237" s="49"/>
      <c r="Q237" s="49"/>
      <c r="R237" s="49"/>
      <c r="S237" s="49"/>
      <c r="T237" s="49"/>
      <c r="U237" s="49"/>
      <c r="V237" s="49"/>
      <c r="W237" s="49"/>
    </row>
    <row r="238" spans="1:47">
      <c r="A238" s="49"/>
      <c r="B238" s="49"/>
      <c r="C238" s="49"/>
      <c r="D238" s="49"/>
      <c r="E238" s="49"/>
      <c r="F238" s="49"/>
      <c r="G238" s="49"/>
      <c r="H238" s="49"/>
      <c r="I238" s="49"/>
      <c r="J238" s="49"/>
      <c r="K238" s="49"/>
      <c r="L238" s="49"/>
      <c r="M238" s="49"/>
      <c r="N238" s="49"/>
      <c r="O238" s="49"/>
      <c r="P238" s="49"/>
      <c r="Q238" s="49"/>
      <c r="R238" s="49"/>
      <c r="S238" s="49"/>
      <c r="T238" s="49"/>
      <c r="U238" s="49"/>
      <c r="V238" s="49"/>
      <c r="W238" s="49"/>
    </row>
    <row r="239" spans="1:47">
      <c r="A239" s="49"/>
      <c r="B239" s="49"/>
      <c r="C239" s="49"/>
      <c r="D239" s="49"/>
      <c r="E239" s="49"/>
      <c r="F239" s="49"/>
      <c r="G239" s="49"/>
      <c r="H239" s="49"/>
      <c r="I239" s="49"/>
      <c r="J239" s="49"/>
      <c r="K239" s="49"/>
      <c r="L239" s="49"/>
      <c r="M239" s="49"/>
      <c r="N239" s="49"/>
      <c r="O239" s="49"/>
      <c r="P239" s="49"/>
      <c r="Q239" s="49"/>
      <c r="R239" s="49"/>
      <c r="S239" s="49"/>
      <c r="T239" s="49"/>
      <c r="U239" s="49"/>
      <c r="V239" s="49"/>
      <c r="W239" s="49"/>
    </row>
    <row r="240" spans="1:47">
      <c r="A240" s="49"/>
      <c r="B240" s="49"/>
      <c r="C240" s="49"/>
      <c r="D240" s="49"/>
      <c r="E240" s="49"/>
      <c r="F240" s="49"/>
      <c r="G240" s="49"/>
      <c r="H240" s="49"/>
      <c r="I240" s="49"/>
      <c r="J240" s="49"/>
      <c r="K240" s="49"/>
      <c r="L240" s="49"/>
      <c r="M240" s="49"/>
      <c r="N240" s="49"/>
      <c r="O240" s="49"/>
      <c r="P240" s="49"/>
      <c r="Q240" s="49"/>
      <c r="R240" s="49"/>
      <c r="S240" s="49"/>
      <c r="T240" s="49"/>
      <c r="U240" s="49"/>
      <c r="V240" s="49"/>
      <c r="W240" s="49"/>
    </row>
    <row r="241" spans="1:47">
      <c r="A241" s="1" t="s">
        <v>515</v>
      </c>
      <c r="B241" s="1" t="s">
        <v>516</v>
      </c>
      <c r="C241" s="1"/>
      <c r="D241" s="1"/>
      <c r="E241" s="1"/>
      <c r="F241" s="1"/>
      <c r="G241" s="1"/>
      <c r="H241" s="1"/>
      <c r="I241" s="1"/>
      <c r="J241" s="1"/>
      <c r="K241" s="1" t="s">
        <v>592</v>
      </c>
      <c r="L241" s="1" t="s">
        <v>593</v>
      </c>
      <c r="M241" s="1"/>
      <c r="N241" s="1"/>
      <c r="O241" s="1"/>
      <c r="P241" s="1"/>
      <c r="Q241" s="1"/>
      <c r="R241" s="1"/>
      <c r="S241" s="1"/>
      <c r="T241" s="1"/>
      <c r="U241" s="49"/>
      <c r="V241" s="49"/>
      <c r="W241" s="49"/>
    </row>
    <row r="242" spans="1:47">
      <c r="A242" s="49"/>
      <c r="B242" s="49"/>
      <c r="C242" s="49"/>
      <c r="D242" s="49"/>
      <c r="E242" s="49"/>
      <c r="F242" s="49"/>
      <c r="G242" s="49"/>
      <c r="H242" s="49"/>
      <c r="I242" s="49"/>
      <c r="J242" s="49"/>
      <c r="K242" s="49"/>
      <c r="L242" s="49"/>
      <c r="M242" s="49"/>
      <c r="N242" s="49"/>
      <c r="O242" s="49"/>
      <c r="P242" s="49"/>
      <c r="Q242" s="49"/>
      <c r="R242" s="49"/>
      <c r="S242" s="49"/>
      <c r="T242" s="49"/>
      <c r="U242" s="49"/>
      <c r="V242" s="49"/>
      <c r="W242" s="49"/>
    </row>
    <row r="243" spans="1:47">
      <c r="A243" s="49"/>
      <c r="B243" s="49"/>
      <c r="C243" s="49"/>
      <c r="D243" s="49"/>
      <c r="E243" s="49"/>
      <c r="F243" s="49"/>
      <c r="G243" s="49"/>
      <c r="H243" s="49"/>
      <c r="I243" s="49"/>
      <c r="J243" s="49"/>
      <c r="K243" s="49"/>
      <c r="L243" s="49"/>
      <c r="M243" s="49"/>
      <c r="N243" s="49"/>
      <c r="O243" s="49"/>
      <c r="P243" s="49"/>
      <c r="Q243" s="49"/>
      <c r="R243" s="49"/>
      <c r="S243" s="49"/>
      <c r="T243" s="49"/>
      <c r="U243" s="49"/>
      <c r="V243" s="49"/>
      <c r="W243" s="49"/>
    </row>
    <row r="244" spans="1:47">
      <c r="A244" s="49"/>
      <c r="B244" s="49"/>
      <c r="C244" s="49"/>
      <c r="D244" s="49"/>
      <c r="E244" s="49"/>
      <c r="F244" s="49"/>
      <c r="G244" s="49"/>
      <c r="H244" s="49"/>
      <c r="I244" s="49"/>
      <c r="J244" s="49"/>
      <c r="K244" s="49"/>
      <c r="L244" s="49"/>
      <c r="M244" s="49"/>
      <c r="N244" s="49"/>
      <c r="O244" s="49"/>
      <c r="P244" s="49"/>
      <c r="Q244" s="49"/>
      <c r="R244" s="49"/>
      <c r="S244" s="49"/>
      <c r="T244" s="49"/>
      <c r="U244" s="49"/>
      <c r="V244" s="49"/>
      <c r="W244" s="49"/>
    </row>
    <row r="245" spans="1:47">
      <c r="A245" s="49"/>
      <c r="B245" s="49"/>
      <c r="C245" s="49"/>
      <c r="D245" s="49"/>
      <c r="E245" s="49"/>
      <c r="F245" s="49"/>
      <c r="G245" s="49"/>
      <c r="H245" s="49"/>
      <c r="I245" s="49"/>
      <c r="J245" s="49"/>
      <c r="K245" s="49"/>
      <c r="L245" s="49"/>
      <c r="M245" s="49"/>
      <c r="N245" s="49"/>
      <c r="O245" s="49"/>
      <c r="P245" s="49"/>
      <c r="Q245" s="49"/>
      <c r="R245" s="49"/>
      <c r="S245" s="49"/>
      <c r="T245" s="49"/>
      <c r="U245" s="49"/>
      <c r="V245" s="49"/>
      <c r="W245" s="49"/>
      <c r="AB245" s="303">
        <f t="shared" ref="AB245" si="362">AC245-1</f>
        <v>35</v>
      </c>
      <c r="AC245" s="303">
        <f t="shared" ref="AC245" si="363">AD245-1</f>
        <v>36</v>
      </c>
      <c r="AD245" s="303">
        <f t="shared" ref="AD245" si="364">AE245-1</f>
        <v>37</v>
      </c>
      <c r="AE245" s="303">
        <f t="shared" ref="AE245" si="365">AF245-1</f>
        <v>38</v>
      </c>
      <c r="AF245" s="303">
        <f t="shared" ref="AF245" si="366">AG245-1</f>
        <v>39</v>
      </c>
      <c r="AG245" s="303">
        <f t="shared" ref="AG245" si="367">AH245-1</f>
        <v>40</v>
      </c>
      <c r="AH245" s="303">
        <f t="shared" ref="AH245" si="368">AI245-1</f>
        <v>41</v>
      </c>
      <c r="AI245" s="303">
        <f t="shared" ref="AI245" si="369">AJ245-1</f>
        <v>42</v>
      </c>
      <c r="AJ245" s="303">
        <f t="shared" ref="AJ245" si="370">AK245-1</f>
        <v>43</v>
      </c>
      <c r="AK245" s="303">
        <f t="shared" ref="AK245" si="371">AL245-1</f>
        <v>44</v>
      </c>
      <c r="AL245" s="303">
        <f t="shared" ref="AL245" si="372">AM245-1</f>
        <v>45</v>
      </c>
      <c r="AM245" s="303">
        <f t="shared" ref="AM245" si="373">AN245-1</f>
        <v>46</v>
      </c>
      <c r="AN245" s="303">
        <f t="shared" ref="AN245" si="374">AO245-1</f>
        <v>47</v>
      </c>
      <c r="AO245" s="303">
        <f t="shared" ref="AO245" si="375">AP245-1</f>
        <v>48</v>
      </c>
      <c r="AP245" s="303">
        <f t="shared" ref="AP245" si="376">AQ245-1</f>
        <v>49</v>
      </c>
      <c r="AQ245" s="303">
        <f t="shared" ref="AQ245" si="377">AR245-1</f>
        <v>50</v>
      </c>
      <c r="AR245" s="303">
        <f t="shared" ref="AR245" si="378">AS245-1</f>
        <v>51</v>
      </c>
      <c r="AS245" s="303">
        <f t="shared" ref="AS245" si="379">AT245-1</f>
        <v>52</v>
      </c>
      <c r="AT245" s="303">
        <f t="shared" ref="AT245" si="380">AU245-1</f>
        <v>53</v>
      </c>
      <c r="AU245" s="303">
        <f>VLOOKUP(AU246,Dates!$A:$D,2,FALSE)</f>
        <v>54</v>
      </c>
    </row>
    <row r="246" spans="1:47">
      <c r="A246" s="49"/>
      <c r="B246" s="49"/>
      <c r="C246" s="49"/>
      <c r="D246" s="49"/>
      <c r="E246" s="49"/>
      <c r="F246" s="49"/>
      <c r="G246" s="49"/>
      <c r="H246" s="49"/>
      <c r="I246" s="49"/>
      <c r="J246" s="49"/>
      <c r="K246" s="49"/>
      <c r="L246" s="49"/>
      <c r="M246" s="49"/>
      <c r="N246" s="49"/>
      <c r="O246" s="49"/>
      <c r="P246" s="49"/>
      <c r="Q246" s="49"/>
      <c r="R246" s="49"/>
      <c r="S246" s="49"/>
      <c r="T246" s="49"/>
      <c r="U246" s="49"/>
      <c r="V246" s="49"/>
      <c r="W246" s="49"/>
      <c r="AB246" s="303" t="str">
        <f>IFERROR(VLOOKUP(AB245,Dates!$B:$D,3,FALSE),"")</f>
        <v>3Q20</v>
      </c>
      <c r="AC246" s="303" t="str">
        <f>IFERROR(VLOOKUP(AC245,Dates!$B:$D,3,FALSE),"")</f>
        <v>4Q20</v>
      </c>
      <c r="AD246" s="303" t="str">
        <f>IFERROR(VLOOKUP(AD245,Dates!$B:$D,3,FALSE),"")</f>
        <v>1Q21</v>
      </c>
      <c r="AE246" s="303" t="str">
        <f>IFERROR(VLOOKUP(AE245,Dates!$B:$D,3,FALSE),"")</f>
        <v>2Q21</v>
      </c>
      <c r="AF246" s="303" t="str">
        <f>IFERROR(VLOOKUP(AF245,Dates!$B:$D,3,FALSE),"")</f>
        <v>3Q21</v>
      </c>
      <c r="AG246" s="303" t="str">
        <f>IFERROR(VLOOKUP(AG245,Dates!$B:$D,3,FALSE),"")</f>
        <v>4Q21</v>
      </c>
      <c r="AH246" s="303" t="str">
        <f>IFERROR(VLOOKUP(AH245,Dates!$B:$D,3,FALSE),"")</f>
        <v>1Q22</v>
      </c>
      <c r="AI246" s="303" t="str">
        <f>IFERROR(VLOOKUP(AI245,Dates!$B:$D,3,FALSE),"")</f>
        <v>2Q22</v>
      </c>
      <c r="AJ246" s="303" t="str">
        <f>IFERROR(VLOOKUP(AJ245,Dates!$B:$D,3,FALSE),"")</f>
        <v>3Q22</v>
      </c>
      <c r="AK246" s="303" t="str">
        <f>IFERROR(VLOOKUP(AK245,Dates!$B:$D,3,FALSE),"")</f>
        <v>4Q22</v>
      </c>
      <c r="AL246" s="303" t="str">
        <f>IFERROR(VLOOKUP(AL245,Dates!$B:$D,3,FALSE),"")</f>
        <v>1Q23</v>
      </c>
      <c r="AM246" s="303" t="str">
        <f>IFERROR(VLOOKUP(AM245,Dates!$B:$D,3,FALSE),"")</f>
        <v>2Q23</v>
      </c>
      <c r="AN246" s="303" t="str">
        <f>IFERROR(VLOOKUP(AN245,Dates!$B:$D,3,FALSE),"")</f>
        <v>3Q23</v>
      </c>
      <c r="AO246" s="303" t="str">
        <f>IFERROR(VLOOKUP(AO245,Dates!$B:$D,3,FALSE),"")</f>
        <v>4Q23</v>
      </c>
      <c r="AP246" s="303" t="str">
        <f>IFERROR(VLOOKUP(AP245,Dates!$B:$D,3,FALSE),"")</f>
        <v>1Q24</v>
      </c>
      <c r="AQ246" s="303" t="str">
        <f>IFERROR(VLOOKUP(AQ245,Dates!$B:$D,3,FALSE),"")</f>
        <v>2Q24</v>
      </c>
      <c r="AR246" s="303" t="str">
        <f>IFERROR(VLOOKUP(AR245,Dates!$B:$D,3,FALSE),"")</f>
        <v>3Q24</v>
      </c>
      <c r="AS246" s="303" t="str">
        <f>IFERROR(VLOOKUP(AS245,Dates!$B:$D,3,FALSE),"")</f>
        <v>4Q24</v>
      </c>
      <c r="AT246" s="303" t="str">
        <f>IFERROR(VLOOKUP(AT245,Dates!$B:$D,3,FALSE),"")</f>
        <v>1Q25</v>
      </c>
      <c r="AU246" s="315" t="str">
        <f>$G$3</f>
        <v>2Q25</v>
      </c>
    </row>
    <row r="247" spans="1:47">
      <c r="A247" s="49"/>
      <c r="B247" s="49"/>
      <c r="C247" s="49"/>
      <c r="D247" s="49"/>
      <c r="E247" s="49"/>
      <c r="F247" s="49"/>
      <c r="G247" s="49"/>
      <c r="H247" s="49"/>
      <c r="I247" s="49"/>
      <c r="J247" s="49"/>
      <c r="K247" s="49"/>
      <c r="L247" s="49"/>
      <c r="M247" s="49"/>
      <c r="N247" s="49"/>
      <c r="O247" s="49"/>
      <c r="P247" s="49"/>
      <c r="Q247" s="49"/>
      <c r="R247" s="49"/>
      <c r="S247" s="49"/>
      <c r="T247" s="49"/>
      <c r="U247" s="49"/>
      <c r="V247" s="49"/>
      <c r="W247" s="49"/>
      <c r="AA247" s="316" t="str">
        <f>'Domestic Mobile Financials'!A28</f>
        <v>Capex as % of sales</v>
      </c>
      <c r="AB247" s="318">
        <f>IFERROR(INDEX('Domestic Mobile Financials'!$A:$ABB,MATCH($AA247,'Domestic Mobile Financials'!$A:$A,0),MATCH(AB246,'Domestic Mobile Financials'!$1:$1,0)),"")</f>
        <v>0.22762295786854467</v>
      </c>
      <c r="AC247" s="318">
        <f>IFERROR(INDEX('Domestic Mobile Financials'!$A:$ABB,MATCH($AA247,'Domestic Mobile Financials'!$A:$A,0),MATCH(AC246,'Domestic Mobile Financials'!$1:$1,0)),"")</f>
        <v>0.54017660536700074</v>
      </c>
      <c r="AD247" s="318">
        <f>IFERROR(INDEX('Domestic Mobile Financials'!$A:$ABB,MATCH($AA247,'Domestic Mobile Financials'!$A:$A,0),MATCH(AD246,'Domestic Mobile Financials'!$1:$1,0)),"")</f>
        <v>0.19868309398682743</v>
      </c>
      <c r="AE247" s="318">
        <f>IFERROR(INDEX('Domestic Mobile Financials'!$A:$ABB,MATCH($AA247,'Domestic Mobile Financials'!$A:$A,0),MATCH(AE246,'Domestic Mobile Financials'!$1:$1,0)),"")</f>
        <v>0.30173875953277884</v>
      </c>
      <c r="AF247" s="318">
        <f>IFERROR(INDEX('Domestic Mobile Financials'!$A:$ABB,MATCH($AA247,'Domestic Mobile Financials'!$A:$A,0),MATCH(AF246,'Domestic Mobile Financials'!$1:$1,0)),"")</f>
        <v>0.28452271791769651</v>
      </c>
      <c r="AG247" s="318">
        <f>IFERROR(INDEX('Domestic Mobile Financials'!$A:$ABB,MATCH($AA247,'Domestic Mobile Financials'!$A:$A,0),MATCH(AG246,'Domestic Mobile Financials'!$1:$1,0)),"")</f>
        <v>0.26557960017701782</v>
      </c>
      <c r="AH247" s="318">
        <f>IFERROR(INDEX('Domestic Mobile Financials'!$A:$ABB,MATCH($AA247,'Domestic Mobile Financials'!$A:$A,0),MATCH(AH246,'Domestic Mobile Financials'!$1:$1,0)),"")</f>
        <v>0.30578490646105594</v>
      </c>
      <c r="AI247" s="318">
        <f>IFERROR(INDEX('Domestic Mobile Financials'!$A:$ABB,MATCH($AA247,'Domestic Mobile Financials'!$A:$A,0),MATCH(AI246,'Domestic Mobile Financials'!$1:$1,0)),"")</f>
        <v>0.30473162447174057</v>
      </c>
      <c r="AJ247" s="318">
        <f>IFERROR(INDEX('Domestic Mobile Financials'!$A:$ABB,MATCH($AA247,'Domestic Mobile Financials'!$A:$A,0),MATCH(AJ246,'Domestic Mobile Financials'!$1:$1,0)),"")</f>
        <v>0.1812890804591068</v>
      </c>
      <c r="AK247" s="318">
        <f>IFERROR(INDEX('Domestic Mobile Financials'!$A:$ABB,MATCH($AA247,'Domestic Mobile Financials'!$A:$A,0),MATCH(AK246,'Domestic Mobile Financials'!$1:$1,0)),"")</f>
        <v>0.14582551315459263</v>
      </c>
      <c r="AL247" s="318">
        <f>IFERROR(INDEX('Domestic Mobile Financials'!$A:$ABB,MATCH($AA247,'Domestic Mobile Financials'!$A:$A,0),MATCH(AL246,'Domestic Mobile Financials'!$1:$1,0)),"")</f>
        <v>0.19892428167181381</v>
      </c>
      <c r="AM247" s="318">
        <f>IFERROR(INDEX('Domestic Mobile Financials'!$A:$ABB,MATCH($AA247,'Domestic Mobile Financials'!$A:$A,0),MATCH(AM246,'Domestic Mobile Financials'!$1:$1,0)),"")</f>
        <v>0.20364241537344091</v>
      </c>
      <c r="AN247" s="318">
        <f>IFERROR(INDEX('Domestic Mobile Financials'!$A:$ABB,MATCH($AA247,'Domestic Mobile Financials'!$A:$A,0),MATCH(AN246,'Domestic Mobile Financials'!$1:$1,0)),"")</f>
        <v>0.32963648038760263</v>
      </c>
      <c r="AO247" s="318">
        <f>IFERROR(INDEX('Domestic Mobile Financials'!$A:$ABB,MATCH($AA247,'Domestic Mobile Financials'!$A:$A,0),MATCH(AO246,'Domestic Mobile Financials'!$1:$1,0)),"")</f>
        <v>0.34001795821100489</v>
      </c>
      <c r="AP247" s="318">
        <f>IFERROR(INDEX('Domestic Mobile Financials'!$A:$ABB,MATCH($AA247,'Domestic Mobile Financials'!$A:$A,0),MATCH(AP246,'Domestic Mobile Financials'!$1:$1,0)),"")</f>
        <v>0.38391435840216909</v>
      </c>
      <c r="AQ247" s="318">
        <f>IFERROR(INDEX('Domestic Mobile Financials'!$A:$ABB,MATCH($AA247,'Domestic Mobile Financials'!$A:$A,0),MATCH(AQ246,'Domestic Mobile Financials'!$1:$1,0)),"")</f>
        <v>0.27136255339611837</v>
      </c>
      <c r="AR247" s="318">
        <f>IFERROR(INDEX('Domestic Mobile Financials'!$A:$ABB,MATCH($AA247,'Domestic Mobile Financials'!$A:$A,0),MATCH(AR246,'Domestic Mobile Financials'!$1:$1,0)),"")</f>
        <v>0.26563242645397994</v>
      </c>
      <c r="AS247" s="318">
        <f>IFERROR(INDEX('Domestic Mobile Financials'!$A:$ABB,MATCH($AA247,'Domestic Mobile Financials'!$A:$A,0),MATCH(AS246,'Domestic Mobile Financials'!$1:$1,0)),"")</f>
        <v>0.27237884534656331</v>
      </c>
      <c r="AT247" s="318">
        <f>IFERROR(INDEX('Domestic Mobile Financials'!$A:$ABB,MATCH($AA247,'Domestic Mobile Financials'!$A:$A,0),MATCH(AT246,'Domestic Mobile Financials'!$1:$1,0)),"")</f>
        <v>0.21520708389818582</v>
      </c>
      <c r="AU247" s="318">
        <f>IFERROR(INDEX('Domestic Mobile Financials'!$A:$ABB,MATCH($AA247,'Domestic Mobile Financials'!$A:$A,0),MATCH(AU246,'Domestic Mobile Financials'!$1:$1,0)),"")</f>
        <v>0.16057117599806287</v>
      </c>
    </row>
    <row r="248" spans="1:47">
      <c r="A248" s="49"/>
      <c r="B248" s="49"/>
      <c r="C248" s="49"/>
      <c r="D248" s="49"/>
      <c r="E248" s="49"/>
      <c r="F248" s="49"/>
      <c r="G248" s="49"/>
      <c r="H248" s="49"/>
      <c r="I248" s="49"/>
      <c r="J248" s="49"/>
      <c r="K248" s="49"/>
      <c r="L248" s="49"/>
      <c r="M248" s="49"/>
      <c r="N248" s="49"/>
      <c r="O248" s="49"/>
      <c r="P248" s="49"/>
      <c r="Q248" s="49"/>
      <c r="R248" s="49"/>
      <c r="S248" s="49"/>
      <c r="T248" s="49"/>
      <c r="U248" s="49"/>
      <c r="V248" s="49"/>
      <c r="W248" s="49"/>
    </row>
    <row r="249" spans="1:47">
      <c r="A249" s="49"/>
      <c r="B249" s="49"/>
      <c r="C249" s="49"/>
      <c r="D249" s="49"/>
      <c r="E249" s="49"/>
      <c r="F249" s="49"/>
      <c r="G249" s="49"/>
      <c r="H249" s="49"/>
      <c r="I249" s="49"/>
      <c r="J249" s="49"/>
      <c r="K249" s="49"/>
      <c r="L249" s="49"/>
      <c r="M249" s="49"/>
      <c r="N249" s="49"/>
      <c r="O249" s="49"/>
      <c r="P249" s="49"/>
      <c r="Q249" s="49"/>
      <c r="R249" s="49"/>
      <c r="S249" s="49"/>
      <c r="T249" s="49"/>
      <c r="U249" s="49"/>
      <c r="V249" s="49"/>
      <c r="W249" s="49"/>
    </row>
    <row r="250" spans="1:47">
      <c r="A250" s="49"/>
      <c r="B250" s="49"/>
      <c r="C250" s="49"/>
      <c r="D250" s="49"/>
      <c r="E250" s="49"/>
      <c r="F250" s="49"/>
      <c r="G250" s="49"/>
      <c r="H250" s="49"/>
      <c r="I250" s="49"/>
      <c r="J250" s="49"/>
      <c r="K250" s="49"/>
      <c r="L250" s="49"/>
      <c r="M250" s="49"/>
      <c r="N250" s="49"/>
      <c r="O250" s="49"/>
      <c r="P250" s="49"/>
      <c r="Q250" s="49"/>
      <c r="R250" s="49"/>
      <c r="S250" s="49"/>
      <c r="T250" s="49"/>
      <c r="U250" s="49"/>
      <c r="V250" s="49"/>
      <c r="W250" s="49"/>
    </row>
    <row r="251" spans="1:47">
      <c r="A251" s="49"/>
      <c r="B251" s="49"/>
      <c r="C251" s="49"/>
      <c r="D251" s="49"/>
      <c r="E251" s="49"/>
      <c r="F251" s="49"/>
      <c r="G251" s="49"/>
      <c r="H251" s="49"/>
      <c r="I251" s="49"/>
      <c r="J251" s="49"/>
      <c r="K251" s="49"/>
      <c r="L251" s="49"/>
      <c r="M251" s="49"/>
      <c r="N251" s="49"/>
      <c r="O251" s="49"/>
      <c r="P251" s="49"/>
      <c r="Q251" s="49"/>
      <c r="R251" s="49"/>
      <c r="S251" s="49"/>
      <c r="T251" s="49"/>
      <c r="U251" s="49"/>
      <c r="V251" s="49"/>
      <c r="W251" s="49"/>
      <c r="AB251" s="303">
        <f t="shared" ref="AB251" si="381">AC251-1</f>
        <v>35</v>
      </c>
      <c r="AC251" s="303">
        <f t="shared" ref="AC251" si="382">AD251-1</f>
        <v>36</v>
      </c>
      <c r="AD251" s="303">
        <f t="shared" ref="AD251" si="383">AE251-1</f>
        <v>37</v>
      </c>
      <c r="AE251" s="303">
        <f t="shared" ref="AE251" si="384">AF251-1</f>
        <v>38</v>
      </c>
      <c r="AF251" s="303">
        <f t="shared" ref="AF251" si="385">AG251-1</f>
        <v>39</v>
      </c>
      <c r="AG251" s="303">
        <f t="shared" ref="AG251" si="386">AH251-1</f>
        <v>40</v>
      </c>
      <c r="AH251" s="303">
        <f t="shared" ref="AH251" si="387">AI251-1</f>
        <v>41</v>
      </c>
      <c r="AI251" s="303">
        <f t="shared" ref="AI251" si="388">AJ251-1</f>
        <v>42</v>
      </c>
      <c r="AJ251" s="303">
        <f t="shared" ref="AJ251" si="389">AK251-1</f>
        <v>43</v>
      </c>
      <c r="AK251" s="303">
        <f t="shared" ref="AK251" si="390">AL251-1</f>
        <v>44</v>
      </c>
      <c r="AL251" s="303">
        <f t="shared" ref="AL251" si="391">AM251-1</f>
        <v>45</v>
      </c>
      <c r="AM251" s="303">
        <f t="shared" ref="AM251" si="392">AN251-1</f>
        <v>46</v>
      </c>
      <c r="AN251" s="303">
        <f t="shared" ref="AN251" si="393">AO251-1</f>
        <v>47</v>
      </c>
      <c r="AO251" s="303">
        <f t="shared" ref="AO251" si="394">AP251-1</f>
        <v>48</v>
      </c>
      <c r="AP251" s="303">
        <f t="shared" ref="AP251" si="395">AQ251-1</f>
        <v>49</v>
      </c>
      <c r="AQ251" s="303">
        <f t="shared" ref="AQ251" si="396">AR251-1</f>
        <v>50</v>
      </c>
      <c r="AR251" s="303">
        <f t="shared" ref="AR251" si="397">AS251-1</f>
        <v>51</v>
      </c>
      <c r="AS251" s="303">
        <f t="shared" ref="AS251" si="398">AT251-1</f>
        <v>52</v>
      </c>
      <c r="AT251" s="303">
        <f t="shared" ref="AT251" si="399">AU251-1</f>
        <v>53</v>
      </c>
      <c r="AU251" s="303">
        <f>VLOOKUP(AU252,Dates!$A:$D,2,FALSE)</f>
        <v>54</v>
      </c>
    </row>
    <row r="252" spans="1:47">
      <c r="A252" s="49"/>
      <c r="B252" s="49"/>
      <c r="C252" s="49"/>
      <c r="D252" s="49"/>
      <c r="E252" s="49"/>
      <c r="F252" s="49"/>
      <c r="G252" s="49"/>
      <c r="H252" s="49"/>
      <c r="I252" s="49"/>
      <c r="J252" s="49"/>
      <c r="K252" s="49"/>
      <c r="L252" s="49"/>
      <c r="M252" s="49"/>
      <c r="N252" s="49"/>
      <c r="O252" s="49"/>
      <c r="P252" s="49"/>
      <c r="Q252" s="49"/>
      <c r="R252" s="49"/>
      <c r="S252" s="49"/>
      <c r="T252" s="49"/>
      <c r="U252" s="49"/>
      <c r="V252" s="49"/>
      <c r="W252" s="49"/>
      <c r="AB252" s="303" t="str">
        <f>IFERROR(VLOOKUP(AB251,Dates!$B:$D,3,FALSE),"")</f>
        <v>3Q20</v>
      </c>
      <c r="AC252" s="303" t="str">
        <f>IFERROR(VLOOKUP(AC251,Dates!$B:$D,3,FALSE),"")</f>
        <v>4Q20</v>
      </c>
      <c r="AD252" s="303" t="str">
        <f>IFERROR(VLOOKUP(AD251,Dates!$B:$D,3,FALSE),"")</f>
        <v>1Q21</v>
      </c>
      <c r="AE252" s="303" t="str">
        <f>IFERROR(VLOOKUP(AE251,Dates!$B:$D,3,FALSE),"")</f>
        <v>2Q21</v>
      </c>
      <c r="AF252" s="303" t="str">
        <f>IFERROR(VLOOKUP(AF251,Dates!$B:$D,3,FALSE),"")</f>
        <v>3Q21</v>
      </c>
      <c r="AG252" s="303" t="str">
        <f>IFERROR(VLOOKUP(AG251,Dates!$B:$D,3,FALSE),"")</f>
        <v>4Q21</v>
      </c>
      <c r="AH252" s="303" t="str">
        <f>IFERROR(VLOOKUP(AH251,Dates!$B:$D,3,FALSE),"")</f>
        <v>1Q22</v>
      </c>
      <c r="AI252" s="303" t="str">
        <f>IFERROR(VLOOKUP(AI251,Dates!$B:$D,3,FALSE),"")</f>
        <v>2Q22</v>
      </c>
      <c r="AJ252" s="303" t="str">
        <f>IFERROR(VLOOKUP(AJ251,Dates!$B:$D,3,FALSE),"")</f>
        <v>3Q22</v>
      </c>
      <c r="AK252" s="303" t="str">
        <f>IFERROR(VLOOKUP(AK251,Dates!$B:$D,3,FALSE),"")</f>
        <v>4Q22</v>
      </c>
      <c r="AL252" s="303" t="str">
        <f>IFERROR(VLOOKUP(AL251,Dates!$B:$D,3,FALSE),"")</f>
        <v>1Q23</v>
      </c>
      <c r="AM252" s="303" t="str">
        <f>IFERROR(VLOOKUP(AM251,Dates!$B:$D,3,FALSE),"")</f>
        <v>2Q23</v>
      </c>
      <c r="AN252" s="303" t="str">
        <f>IFERROR(VLOOKUP(AN251,Dates!$B:$D,3,FALSE),"")</f>
        <v>3Q23</v>
      </c>
      <c r="AO252" s="303" t="str">
        <f>IFERROR(VLOOKUP(AO251,Dates!$B:$D,3,FALSE),"")</f>
        <v>4Q23</v>
      </c>
      <c r="AP252" s="303" t="str">
        <f>IFERROR(VLOOKUP(AP251,Dates!$B:$D,3,FALSE),"")</f>
        <v>1Q24</v>
      </c>
      <c r="AQ252" s="303" t="str">
        <f>IFERROR(VLOOKUP(AQ251,Dates!$B:$D,3,FALSE),"")</f>
        <v>2Q24</v>
      </c>
      <c r="AR252" s="303" t="str">
        <f>IFERROR(VLOOKUP(AR251,Dates!$B:$D,3,FALSE),"")</f>
        <v>3Q24</v>
      </c>
      <c r="AS252" s="303" t="str">
        <f>IFERROR(VLOOKUP(AS251,Dates!$B:$D,3,FALSE),"")</f>
        <v>4Q24</v>
      </c>
      <c r="AT252" s="303" t="str">
        <f>IFERROR(VLOOKUP(AT251,Dates!$B:$D,3,FALSE),"")</f>
        <v>1Q25</v>
      </c>
      <c r="AU252" s="315" t="str">
        <f>$G$3</f>
        <v>2Q25</v>
      </c>
    </row>
    <row r="253" spans="1:47">
      <c r="A253" s="49"/>
      <c r="B253" s="49"/>
      <c r="C253" s="49"/>
      <c r="D253" s="49"/>
      <c r="E253" s="49"/>
      <c r="F253" s="49"/>
      <c r="G253" s="49"/>
      <c r="H253" s="49"/>
      <c r="I253" s="49"/>
      <c r="J253" s="49"/>
      <c r="K253" s="49"/>
      <c r="L253" s="49"/>
      <c r="M253" s="49"/>
      <c r="N253" s="49"/>
      <c r="O253" s="49"/>
      <c r="P253" s="49"/>
      <c r="Q253" s="49"/>
      <c r="R253" s="49"/>
      <c r="S253" s="49"/>
      <c r="T253" s="49"/>
      <c r="U253" s="49"/>
      <c r="V253" s="49"/>
      <c r="W253" s="49"/>
      <c r="AA253" s="316" t="str">
        <f>'Domestic Mobile Operations'!A6</f>
        <v>Net Adds ('000)</v>
      </c>
      <c r="AB253" s="317">
        <f>IFERROR(INDEX('Domestic Mobile Operations'!$A:$ABB,MATCH($AA253,'Domestic Mobile Operations'!$A:$A,0),MATCH(AB252,'Domestic Mobile Operations'!$1:$1,0)),"")</f>
        <v>3606.2529999999679</v>
      </c>
      <c r="AC253" s="317">
        <f>IFERROR(INDEX('Domestic Mobile Operations'!$A:$ABB,MATCH($AA253,'Domestic Mobile Operations'!$A:$A,0),MATCH(AC252,'Domestic Mobile Operations'!$1:$1,0)),"")</f>
        <v>630.93100000004051</v>
      </c>
      <c r="AD253" s="317">
        <f>IFERROR(INDEX('Domestic Mobile Operations'!$A:$ABB,MATCH($AA253,'Domestic Mobile Operations'!$A:$A,0),MATCH(AD252,'Domestic Mobile Operations'!$1:$1,0)),"")</f>
        <v>-3798.1840000000084</v>
      </c>
      <c r="AE253" s="317">
        <f>IFERROR(INDEX('Domestic Mobile Operations'!$A:$ABB,MATCH($AA253,'Domestic Mobile Operations'!$A:$A,0),MATCH(AE252,'Domestic Mobile Operations'!$1:$1,0)),"")</f>
        <v>13873.219999999972</v>
      </c>
      <c r="AF253" s="317">
        <f>IFERROR(INDEX('Domestic Mobile Operations'!$A:$ABB,MATCH($AA253,'Domestic Mobile Operations'!$A:$A,0),MATCH(AF252,'Domestic Mobile Operations'!$1:$1,0)),"")</f>
        <v>14205.780000000028</v>
      </c>
      <c r="AG253" s="317">
        <f>IFERROR(INDEX('Domestic Mobile Operations'!$A:$ABB,MATCH($AA253,'Domestic Mobile Operations'!$A:$A,0),MATCH(AG252,'Domestic Mobile Operations'!$1:$1,0)),"")</f>
        <v>13425.510000000009</v>
      </c>
      <c r="AH253" s="317">
        <f>IFERROR(INDEX('Domestic Mobile Operations'!$A:$ABB,MATCH($AA253,'Domestic Mobile Operations'!$A:$A,0),MATCH(AH252,'Domestic Mobile Operations'!$1:$1,0)),"")</f>
        <v>-135.38699999998789</v>
      </c>
      <c r="AI253" s="317">
        <f>IFERROR(INDEX('Domestic Mobile Operations'!$A:$ABB,MATCH($AA253,'Domestic Mobile Operations'!$A:$A,0),MATCH(AI252,'Domestic Mobile Operations'!$1:$1,0)),"")</f>
        <v>2237.8769999999786</v>
      </c>
      <c r="AJ253" s="317">
        <f>IFERROR(INDEX('Domestic Mobile Operations'!$A:$ABB,MATCH($AA253,'Domestic Mobile Operations'!$A:$A,0),MATCH(AJ252,'Domestic Mobile Operations'!$1:$1,0)),"")</f>
        <v>-558.40700000000652</v>
      </c>
      <c r="AK253" s="317">
        <f>IFERROR(INDEX('Domestic Mobile Operations'!$A:$ABB,MATCH($AA253,'Domestic Mobile Operations'!$A:$A,0),MATCH(AK252,'Domestic Mobile Operations'!$1:$1,0)),"")</f>
        <v>3125.4070000000065</v>
      </c>
      <c r="AL253" s="317">
        <f>IFERROR(INDEX('Domestic Mobile Operations'!$A:$ABB,MATCH($AA253,'Domestic Mobile Operations'!$A:$A,0),MATCH(AL252,'Domestic Mobile Operations'!$1:$1,0)),"")</f>
        <v>1264.7399999999907</v>
      </c>
      <c r="AM253" s="317">
        <f>IFERROR(INDEX('Domestic Mobile Operations'!$A:$ABB,MATCH($AA253,'Domestic Mobile Operations'!$A:$A,0),MATCH(AM252,'Domestic Mobile Operations'!$1:$1,0)),"")</f>
        <v>490.22000000003027</v>
      </c>
      <c r="AN253" s="317">
        <f>IFERROR(INDEX('Domestic Mobile Operations'!$A:$ABB,MATCH($AA253,'Domestic Mobile Operations'!$A:$A,0),MATCH(AN252,'Domestic Mobile Operations'!$1:$1,0)),"")</f>
        <v>4445.6599999999744</v>
      </c>
      <c r="AO253" s="317">
        <f>IFERROR(INDEX('Domestic Mobile Operations'!$A:$ABB,MATCH($AA253,'Domestic Mobile Operations'!$A:$A,0),MATCH(AO252,'Domestic Mobile Operations'!$1:$1,0)),"")</f>
        <v>3168.6620000000694</v>
      </c>
      <c r="AP253" s="317">
        <f>IFERROR(INDEX('Domestic Mobile Operations'!$A:$ABB,MATCH($AA253,'Domestic Mobile Operations'!$A:$A,0),MATCH(AP252,'Domestic Mobile Operations'!$1:$1,0)),"")</f>
        <v>3150.1029999999446</v>
      </c>
      <c r="AQ253" s="317">
        <f>IFERROR(INDEX('Domestic Mobile Operations'!$A:$ABB,MATCH($AA253,'Domestic Mobile Operations'!$A:$A,0),MATCH(AQ252,'Domestic Mobile Operations'!$1:$1,0)),"")</f>
        <v>3742.9770000000135</v>
      </c>
      <c r="AR253" s="317">
        <f>IFERROR(INDEX('Domestic Mobile Operations'!$A:$ABB,MATCH($AA253,'Domestic Mobile Operations'!$A:$A,0),MATCH(AR252,'Domestic Mobile Operations'!$1:$1,0)),"")</f>
        <v>3264.844000000041</v>
      </c>
      <c r="AS253" s="317">
        <f>IFERROR(INDEX('Domestic Mobile Operations'!$A:$ABB,MATCH($AA253,'Domestic Mobile Operations'!$A:$A,0),MATCH(AS252,'Domestic Mobile Operations'!$1:$1,0)),"")</f>
        <v>6682.6059999999125</v>
      </c>
      <c r="AT253" s="317">
        <f>IFERROR(INDEX('Domestic Mobile Operations'!$A:$ABB,MATCH($AA253,'Domestic Mobile Operations'!$A:$A,0),MATCH(AT252,'Domestic Mobile Operations'!$1:$1,0)),"")</f>
        <v>2262.3280000000377</v>
      </c>
      <c r="AU253" s="317">
        <f>IFERROR(INDEX('Domestic Mobile Operations'!$A:$ABB,MATCH($AA253,'Domestic Mobile Operations'!$A:$A,0),MATCH(AU252,'Domestic Mobile Operations'!$1:$1,0)),"")</f>
        <v>-2874.8959999999497</v>
      </c>
    </row>
    <row r="254" spans="1:47">
      <c r="A254" s="49"/>
      <c r="B254" s="49"/>
      <c r="C254" s="49"/>
      <c r="D254" s="49"/>
      <c r="E254" s="49"/>
      <c r="F254" s="49"/>
      <c r="G254" s="49"/>
      <c r="H254" s="49"/>
      <c r="I254" s="49"/>
      <c r="J254" s="49"/>
      <c r="K254" s="49"/>
      <c r="L254" s="49"/>
      <c r="M254" s="49"/>
      <c r="N254" s="49"/>
      <c r="O254" s="49"/>
      <c r="P254" s="49"/>
      <c r="Q254" s="49"/>
      <c r="R254" s="49"/>
      <c r="S254" s="49"/>
      <c r="T254" s="49"/>
      <c r="U254" s="49"/>
      <c r="V254" s="49"/>
      <c r="W254" s="49"/>
    </row>
    <row r="255" spans="1:47">
      <c r="A255" s="49"/>
      <c r="B255" s="49"/>
      <c r="C255" s="49"/>
      <c r="D255" s="49"/>
      <c r="E255" s="49"/>
      <c r="F255" s="49"/>
      <c r="G255" s="49"/>
      <c r="H255" s="49"/>
      <c r="I255" s="49"/>
      <c r="J255" s="49"/>
      <c r="K255" s="49"/>
      <c r="L255" s="49"/>
      <c r="M255" s="49"/>
      <c r="N255" s="49"/>
      <c r="O255" s="49"/>
      <c r="P255" s="49"/>
      <c r="Q255" s="49"/>
      <c r="R255" s="49"/>
      <c r="S255" s="49"/>
      <c r="T255" s="49"/>
      <c r="U255" s="49"/>
      <c r="V255" s="49"/>
      <c r="W255" s="49"/>
    </row>
    <row r="256" spans="1:47">
      <c r="A256" s="49"/>
      <c r="B256" s="49"/>
      <c r="C256" s="49"/>
      <c r="D256" s="49"/>
      <c r="E256" s="49"/>
      <c r="F256" s="49"/>
      <c r="G256" s="49"/>
      <c r="H256" s="49"/>
      <c r="I256" s="49"/>
      <c r="J256" s="49"/>
      <c r="K256" s="49"/>
      <c r="L256" s="49"/>
      <c r="M256" s="49"/>
      <c r="N256" s="49"/>
      <c r="O256" s="49"/>
      <c r="P256" s="49"/>
      <c r="Q256" s="49"/>
      <c r="R256" s="49"/>
      <c r="S256" s="49"/>
      <c r="T256" s="49"/>
      <c r="U256" s="49"/>
      <c r="V256" s="49"/>
      <c r="W256" s="49"/>
    </row>
    <row r="257" spans="1:47">
      <c r="A257" s="49"/>
      <c r="B257" s="49"/>
      <c r="C257" s="49"/>
      <c r="D257" s="49"/>
      <c r="E257" s="49"/>
      <c r="F257" s="49"/>
      <c r="G257" s="49"/>
      <c r="H257" s="49"/>
      <c r="I257" s="49"/>
      <c r="J257" s="49"/>
      <c r="K257" s="49"/>
      <c r="L257" s="49"/>
      <c r="M257" s="49"/>
      <c r="N257" s="49"/>
      <c r="O257" s="49"/>
      <c r="P257" s="49"/>
      <c r="Q257" s="49"/>
      <c r="R257" s="49"/>
      <c r="S257" s="49"/>
      <c r="T257" s="49"/>
      <c r="U257" s="49"/>
      <c r="V257" s="49"/>
      <c r="W257" s="49"/>
    </row>
    <row r="258" spans="1:47">
      <c r="A258" s="49"/>
      <c r="B258" s="49"/>
      <c r="C258" s="49"/>
      <c r="D258" s="49"/>
      <c r="E258" s="49"/>
      <c r="F258" s="49"/>
      <c r="G258" s="49"/>
      <c r="H258" s="49"/>
      <c r="I258" s="49"/>
      <c r="J258" s="49"/>
      <c r="K258" s="49"/>
      <c r="L258" s="49"/>
      <c r="M258" s="49"/>
      <c r="N258" s="49"/>
      <c r="O258" s="49"/>
      <c r="P258" s="49"/>
      <c r="Q258" s="49"/>
      <c r="R258" s="49"/>
      <c r="S258" s="49"/>
      <c r="T258" s="49"/>
      <c r="U258" s="49"/>
      <c r="V258" s="49"/>
      <c r="W258" s="49"/>
    </row>
    <row r="259" spans="1:47">
      <c r="A259" s="49"/>
      <c r="B259" s="49"/>
      <c r="C259" s="49"/>
      <c r="D259" s="49"/>
      <c r="E259" s="49"/>
      <c r="F259" s="49"/>
      <c r="G259" s="49"/>
      <c r="H259" s="49"/>
      <c r="I259" s="49"/>
      <c r="J259" s="49"/>
      <c r="K259" s="49"/>
      <c r="L259" s="49"/>
      <c r="M259" s="49"/>
      <c r="N259" s="49"/>
      <c r="O259" s="49"/>
      <c r="P259" s="49"/>
      <c r="Q259" s="49"/>
      <c r="R259" s="49"/>
      <c r="S259" s="49"/>
      <c r="T259" s="49"/>
      <c r="U259" s="49"/>
      <c r="V259" s="49"/>
      <c r="W259" s="49"/>
    </row>
    <row r="260" spans="1:47">
      <c r="A260" s="49" t="s">
        <v>588</v>
      </c>
      <c r="B260" s="49"/>
      <c r="C260" s="49"/>
      <c r="D260" s="49"/>
      <c r="E260" s="49"/>
      <c r="F260" s="49"/>
      <c r="G260" s="49"/>
      <c r="H260" s="49"/>
      <c r="I260" s="49"/>
      <c r="J260" s="49"/>
      <c r="K260" s="49"/>
      <c r="L260" s="49"/>
      <c r="M260" s="49"/>
      <c r="N260" s="49"/>
      <c r="O260" s="49"/>
      <c r="P260" s="49"/>
      <c r="Q260" s="49"/>
      <c r="R260" s="49"/>
      <c r="S260" s="49"/>
      <c r="T260" s="49"/>
      <c r="U260" s="49"/>
      <c r="V260" s="49"/>
      <c r="W260" s="49"/>
    </row>
    <row r="261" spans="1:47">
      <c r="A261" s="49"/>
      <c r="B261" s="49"/>
      <c r="C261" s="49"/>
      <c r="D261" s="49"/>
      <c r="E261" s="49"/>
      <c r="F261" s="49"/>
      <c r="G261" s="49"/>
      <c r="H261" s="49"/>
      <c r="I261" s="49"/>
      <c r="J261" s="49"/>
      <c r="K261" s="49"/>
      <c r="L261" s="49"/>
      <c r="M261" s="49"/>
      <c r="N261" s="49"/>
      <c r="O261" s="49"/>
      <c r="P261" s="49"/>
      <c r="Q261" s="49"/>
      <c r="R261" s="49"/>
      <c r="S261" s="49"/>
      <c r="T261" s="49"/>
      <c r="U261" s="49"/>
      <c r="V261" s="49"/>
      <c r="W261" s="49"/>
    </row>
    <row r="262" spans="1:47">
      <c r="A262" s="52" t="s">
        <v>495</v>
      </c>
      <c r="B262" s="1"/>
      <c r="C262" s="1"/>
      <c r="D262" s="1"/>
      <c r="E262" s="1"/>
      <c r="F262" s="1"/>
      <c r="G262" s="1"/>
      <c r="H262" s="1"/>
      <c r="I262" s="1"/>
      <c r="J262" s="1"/>
      <c r="K262" s="1"/>
      <c r="L262" s="1"/>
      <c r="M262" s="1"/>
      <c r="N262" s="1"/>
      <c r="O262" s="1"/>
      <c r="P262" s="1"/>
      <c r="Q262" s="1"/>
      <c r="R262" s="1"/>
      <c r="S262" s="1"/>
      <c r="T262" s="1"/>
      <c r="U262" s="49"/>
      <c r="V262" s="49"/>
      <c r="W262" s="49"/>
    </row>
    <row r="263" spans="1:47">
      <c r="A263" s="1" t="s">
        <v>443</v>
      </c>
      <c r="B263" s="1" t="s">
        <v>537</v>
      </c>
      <c r="C263" s="1"/>
      <c r="D263" s="1"/>
      <c r="E263" s="1"/>
      <c r="F263" s="1"/>
      <c r="G263" s="1"/>
      <c r="H263" s="1"/>
      <c r="I263" s="1"/>
      <c r="J263" s="1"/>
      <c r="K263" s="1" t="s">
        <v>444</v>
      </c>
      <c r="L263" s="1" t="s">
        <v>526</v>
      </c>
      <c r="M263" s="1"/>
      <c r="N263" s="1"/>
      <c r="O263" s="1"/>
      <c r="P263" s="1"/>
      <c r="Q263" s="1"/>
      <c r="R263" s="1"/>
      <c r="S263" s="1"/>
      <c r="T263" s="1"/>
      <c r="U263" s="49"/>
      <c r="V263" s="49"/>
      <c r="W263" s="49"/>
    </row>
    <row r="264" spans="1:47">
      <c r="A264" s="49"/>
      <c r="B264" s="49"/>
      <c r="C264" s="49"/>
      <c r="D264" s="49"/>
      <c r="E264" s="49"/>
      <c r="F264" s="49"/>
      <c r="G264" s="49"/>
      <c r="H264" s="49"/>
      <c r="I264" s="49"/>
      <c r="J264" s="49"/>
      <c r="K264" s="49"/>
      <c r="L264" s="49"/>
      <c r="M264" s="49"/>
      <c r="N264" s="49"/>
      <c r="O264" s="49"/>
      <c r="P264" s="49"/>
      <c r="Q264" s="49"/>
      <c r="R264" s="49"/>
      <c r="S264" s="49"/>
      <c r="T264" s="49"/>
      <c r="U264" s="49"/>
      <c r="V264" s="49"/>
      <c r="W264" s="49"/>
    </row>
    <row r="265" spans="1:47">
      <c r="A265" s="49"/>
      <c r="B265" s="49"/>
      <c r="C265" s="49"/>
      <c r="D265" s="49"/>
      <c r="E265" s="49"/>
      <c r="F265" s="49"/>
      <c r="G265" s="49"/>
      <c r="H265" s="49"/>
      <c r="I265" s="49"/>
      <c r="J265" s="49"/>
      <c r="K265" s="49"/>
      <c r="L265" s="49"/>
      <c r="M265" s="49"/>
      <c r="N265" s="49"/>
      <c r="O265" s="49"/>
      <c r="P265" s="49"/>
      <c r="Q265" s="49"/>
      <c r="R265" s="49"/>
      <c r="S265" s="49"/>
      <c r="T265" s="49"/>
      <c r="U265" s="49"/>
      <c r="V265" s="49"/>
      <c r="W265" s="49"/>
    </row>
    <row r="266" spans="1:47">
      <c r="A266" s="49"/>
      <c r="B266" s="49"/>
      <c r="C266" s="49"/>
      <c r="D266" s="49"/>
      <c r="E266" s="49"/>
      <c r="F266" s="49"/>
      <c r="G266" s="49"/>
      <c r="H266" s="49"/>
      <c r="I266" s="49"/>
      <c r="J266" s="49"/>
      <c r="K266" s="49"/>
      <c r="L266" s="49"/>
      <c r="M266" s="49"/>
      <c r="N266" s="49"/>
      <c r="O266" s="49"/>
      <c r="P266" s="49"/>
      <c r="Q266" s="49"/>
      <c r="R266" s="49"/>
      <c r="S266" s="49"/>
      <c r="T266" s="49"/>
      <c r="U266" s="49"/>
      <c r="V266" s="49"/>
      <c r="W266" s="49"/>
      <c r="AB266" s="303">
        <f t="shared" ref="AB266" si="400">AC266-1</f>
        <v>35</v>
      </c>
      <c r="AC266" s="303">
        <f t="shared" ref="AC266" si="401">AD266-1</f>
        <v>36</v>
      </c>
      <c r="AD266" s="303">
        <f t="shared" ref="AD266" si="402">AE266-1</f>
        <v>37</v>
      </c>
      <c r="AE266" s="303">
        <f t="shared" ref="AE266" si="403">AF266-1</f>
        <v>38</v>
      </c>
      <c r="AF266" s="303">
        <f t="shared" ref="AF266" si="404">AG266-1</f>
        <v>39</v>
      </c>
      <c r="AG266" s="303">
        <f t="shared" ref="AG266" si="405">AH266-1</f>
        <v>40</v>
      </c>
      <c r="AH266" s="303">
        <f t="shared" ref="AH266" si="406">AI266-1</f>
        <v>41</v>
      </c>
      <c r="AI266" s="303">
        <f t="shared" ref="AI266" si="407">AJ266-1</f>
        <v>42</v>
      </c>
      <c r="AJ266" s="303">
        <f t="shared" ref="AJ266" si="408">AK266-1</f>
        <v>43</v>
      </c>
      <c r="AK266" s="303">
        <f t="shared" ref="AK266" si="409">AL266-1</f>
        <v>44</v>
      </c>
      <c r="AL266" s="303">
        <f t="shared" ref="AL266" si="410">AM266-1</f>
        <v>45</v>
      </c>
      <c r="AM266" s="303">
        <f t="shared" ref="AM266" si="411">AN266-1</f>
        <v>46</v>
      </c>
      <c r="AN266" s="303">
        <f t="shared" ref="AN266" si="412">AO266-1</f>
        <v>47</v>
      </c>
      <c r="AO266" s="303">
        <f t="shared" ref="AO266" si="413">AP266-1</f>
        <v>48</v>
      </c>
      <c r="AP266" s="303">
        <f t="shared" ref="AP266" si="414">AQ266-1</f>
        <v>49</v>
      </c>
      <c r="AQ266" s="303">
        <f t="shared" ref="AQ266" si="415">AR266-1</f>
        <v>50</v>
      </c>
      <c r="AR266" s="303">
        <f t="shared" ref="AR266" si="416">AS266-1</f>
        <v>51</v>
      </c>
      <c r="AS266" s="303">
        <f t="shared" ref="AS266" si="417">AT266-1</f>
        <v>52</v>
      </c>
      <c r="AT266" s="303">
        <f t="shared" ref="AT266" si="418">AU266-1</f>
        <v>53</v>
      </c>
      <c r="AU266" s="303">
        <f>VLOOKUP(AU267,Dates!$A:$D,2,FALSE)</f>
        <v>54</v>
      </c>
    </row>
    <row r="267" spans="1:47">
      <c r="A267" s="49"/>
      <c r="B267" s="49"/>
      <c r="C267" s="49"/>
      <c r="D267" s="49"/>
      <c r="E267" s="49"/>
      <c r="F267" s="49"/>
      <c r="G267" s="49"/>
      <c r="H267" s="49"/>
      <c r="I267" s="49"/>
      <c r="J267" s="49"/>
      <c r="K267" s="49"/>
      <c r="L267" s="49"/>
      <c r="M267" s="49"/>
      <c r="N267" s="49"/>
      <c r="O267" s="49"/>
      <c r="P267" s="49"/>
      <c r="Q267" s="49"/>
      <c r="R267" s="49"/>
      <c r="S267" s="49"/>
      <c r="T267" s="49"/>
      <c r="U267" s="49"/>
      <c r="V267" s="49"/>
      <c r="W267" s="49"/>
      <c r="AB267" s="303" t="str">
        <f>IFERROR(VLOOKUP(AB266,Dates!$B:$D,3,FALSE),"")</f>
        <v>3Q20</v>
      </c>
      <c r="AC267" s="303" t="str">
        <f>IFERROR(VLOOKUP(AC266,Dates!$B:$D,3,FALSE),"")</f>
        <v>4Q20</v>
      </c>
      <c r="AD267" s="303" t="str">
        <f>IFERROR(VLOOKUP(AD266,Dates!$B:$D,3,FALSE),"")</f>
        <v>1Q21</v>
      </c>
      <c r="AE267" s="303" t="str">
        <f>IFERROR(VLOOKUP(AE266,Dates!$B:$D,3,FALSE),"")</f>
        <v>2Q21</v>
      </c>
      <c r="AF267" s="303" t="str">
        <f>IFERROR(VLOOKUP(AF266,Dates!$B:$D,3,FALSE),"")</f>
        <v>3Q21</v>
      </c>
      <c r="AG267" s="303" t="str">
        <f>IFERROR(VLOOKUP(AG266,Dates!$B:$D,3,FALSE),"")</f>
        <v>4Q21</v>
      </c>
      <c r="AH267" s="303" t="str">
        <f>IFERROR(VLOOKUP(AH266,Dates!$B:$D,3,FALSE),"")</f>
        <v>1Q22</v>
      </c>
      <c r="AI267" s="303" t="str">
        <f>IFERROR(VLOOKUP(AI266,Dates!$B:$D,3,FALSE),"")</f>
        <v>2Q22</v>
      </c>
      <c r="AJ267" s="303" t="str">
        <f>IFERROR(VLOOKUP(AJ266,Dates!$B:$D,3,FALSE),"")</f>
        <v>3Q22</v>
      </c>
      <c r="AK267" s="303" t="str">
        <f>IFERROR(VLOOKUP(AK266,Dates!$B:$D,3,FALSE),"")</f>
        <v>4Q22</v>
      </c>
      <c r="AL267" s="303" t="str">
        <f>IFERROR(VLOOKUP(AL266,Dates!$B:$D,3,FALSE),"")</f>
        <v>1Q23</v>
      </c>
      <c r="AM267" s="303" t="str">
        <f>IFERROR(VLOOKUP(AM266,Dates!$B:$D,3,FALSE),"")</f>
        <v>2Q23</v>
      </c>
      <c r="AN267" s="303" t="str">
        <f>IFERROR(VLOOKUP(AN266,Dates!$B:$D,3,FALSE),"")</f>
        <v>3Q23</v>
      </c>
      <c r="AO267" s="303" t="str">
        <f>IFERROR(VLOOKUP(AO266,Dates!$B:$D,3,FALSE),"")</f>
        <v>4Q23</v>
      </c>
      <c r="AP267" s="303" t="str">
        <f>IFERROR(VLOOKUP(AP266,Dates!$B:$D,3,FALSE),"")</f>
        <v>1Q24</v>
      </c>
      <c r="AQ267" s="303" t="str">
        <f>IFERROR(VLOOKUP(AQ266,Dates!$B:$D,3,FALSE),"")</f>
        <v>2Q24</v>
      </c>
      <c r="AR267" s="303" t="str">
        <f>IFERROR(VLOOKUP(AR266,Dates!$B:$D,3,FALSE),"")</f>
        <v>3Q24</v>
      </c>
      <c r="AS267" s="303" t="str">
        <f>IFERROR(VLOOKUP(AS266,Dates!$B:$D,3,FALSE),"")</f>
        <v>4Q24</v>
      </c>
      <c r="AT267" s="303" t="str">
        <f>IFERROR(VLOOKUP(AT266,Dates!$B:$D,3,FALSE),"")</f>
        <v>1Q25</v>
      </c>
      <c r="AU267" s="315" t="str">
        <f>$G$3</f>
        <v>2Q25</v>
      </c>
    </row>
    <row r="268" spans="1:47">
      <c r="A268" s="49"/>
      <c r="B268" s="49"/>
      <c r="C268" s="49"/>
      <c r="D268" s="49"/>
      <c r="E268" s="49"/>
      <c r="F268" s="49"/>
      <c r="G268" s="49"/>
      <c r="H268" s="49"/>
      <c r="I268" s="49"/>
      <c r="J268" s="49"/>
      <c r="K268" s="49"/>
      <c r="L268" s="49"/>
      <c r="M268" s="49"/>
      <c r="N268" s="49"/>
      <c r="O268" s="49"/>
      <c r="P268" s="49"/>
      <c r="Q268" s="49"/>
      <c r="R268" s="49"/>
      <c r="S268" s="49"/>
      <c r="T268" s="49"/>
      <c r="U268" s="49"/>
      <c r="V268" s="49"/>
      <c r="W268" s="49"/>
      <c r="AA268" s="316" t="str">
        <f>'Other India financials'!A6</f>
        <v>Total revenues HS</v>
      </c>
      <c r="AB268" s="317">
        <f>IFERROR(INDEX('Other India financials'!$A:$ABB,MATCH($AA268,'Other India financials'!$A:$A,0),MATCH(AB267,'Other India financials'!$1:$1,0)),"")</f>
        <v>5546.3759500000024</v>
      </c>
      <c r="AC268" s="317">
        <f>IFERROR(INDEX('Other India financials'!$A:$ABB,MATCH($AA268,'Other India financials'!$A:$A,0),MATCH(AC267,'Other India financials'!$1:$1,0)),"")</f>
        <v>5725.1100410000008</v>
      </c>
      <c r="AD268" s="317">
        <f>IFERROR(INDEX('Other India financials'!$A:$ABB,MATCH($AA268,'Other India financials'!$A:$A,0),MATCH(AD267,'Other India financials'!$1:$1,0)),"")</f>
        <v>5785.6427860000003</v>
      </c>
      <c r="AE268" s="317">
        <f>IFERROR(INDEX('Other India financials'!$A:$ABB,MATCH($AA268,'Other India financials'!$A:$A,0),MATCH(AE267,'Other India financials'!$1:$1,0)),"")</f>
        <v>5873.4223299999994</v>
      </c>
      <c r="AF268" s="317">
        <f>IFERROR(INDEX('Other India financials'!$A:$ABB,MATCH($AA268,'Other India financials'!$A:$A,0),MATCH(AF267,'Other India financials'!$1:$1,0)),"")</f>
        <v>5673.778941999999</v>
      </c>
      <c r="AG268" s="317">
        <f>IFERROR(INDEX('Other India financials'!$A:$ABB,MATCH($AA268,'Other India financials'!$A:$A,0),MATCH(AG267,'Other India financials'!$1:$1,0)),"")</f>
        <v>6009.0889880000013</v>
      </c>
      <c r="AH268" s="317">
        <f>IFERROR(INDEX('Other India financials'!$A:$ABB,MATCH($AA268,'Other India financials'!$A:$A,0),MATCH(AH267,'Other India financials'!$1:$1,0)),"")</f>
        <v>6532.6126100000001</v>
      </c>
      <c r="AI268" s="317">
        <f>IFERROR(INDEX('Other India financials'!$A:$ABB,MATCH($AA268,'Other India financials'!$A:$A,0),MATCH(AI267,'Other India financials'!$1:$1,0)),"")</f>
        <v>7127</v>
      </c>
      <c r="AJ268" s="317">
        <f>IFERROR(INDEX('Other India financials'!$A:$ABB,MATCH($AA268,'Other India financials'!$A:$A,0),MATCH(AJ267,'Other India financials'!$1:$1,0)),"")</f>
        <v>7968.7393219999976</v>
      </c>
      <c r="AK268" s="317">
        <f>IFERROR(INDEX('Other India financials'!$A:$ABB,MATCH($AA268,'Other India financials'!$A:$A,0),MATCH(AK267,'Other India financials'!$1:$1,0)),"")</f>
        <v>8762.0578490000007</v>
      </c>
      <c r="AL268" s="317">
        <f>IFERROR(INDEX('Other India financials'!$A:$ABB,MATCH($AA268,'Other India financials'!$A:$A,0),MATCH(AL267,'Other India financials'!$1:$1,0)),"")</f>
        <v>9264.5887449999991</v>
      </c>
      <c r="AM268" s="317">
        <f>IFERROR(INDEX('Other India financials'!$A:$ABB,MATCH($AA268,'Other India financials'!$A:$A,0),MATCH(AM267,'Other India financials'!$1:$1,0)),"")</f>
        <v>9898.4133410000031</v>
      </c>
      <c r="AN268" s="317">
        <f>IFERROR(INDEX('Other India financials'!$A:$ABB,MATCH($AA268,'Other India financials'!$A:$A,0),MATCH(AN267,'Other India financials'!$1:$1,0)),"")</f>
        <v>10343.149191</v>
      </c>
      <c r="AO268" s="317">
        <f>IFERROR(INDEX('Other India financials'!$A:$ABB,MATCH($AA268,'Other India financials'!$A:$A,0),MATCH(AO267,'Other India financials'!$1:$1,0)),"")</f>
        <v>10965.960542999997</v>
      </c>
      <c r="AP268" s="317">
        <f>IFERROR(INDEX('Other India financials'!$A:$ABB,MATCH($AA268,'Other India financials'!$A:$A,0),MATCH(AP267,'Other India financials'!$1:$1,0)),"")</f>
        <v>11620.918957</v>
      </c>
      <c r="AQ268" s="317">
        <f>IFERROR(INDEX('Other India financials'!$A:$ABB,MATCH($AA268,'Other India financials'!$A:$A,0),MATCH(AQ267,'Other India financials'!$1:$1,0)),"")</f>
        <v>12207.437658000001</v>
      </c>
      <c r="AR268" s="317">
        <f>IFERROR(INDEX('Other India financials'!$A:$ABB,MATCH($AA268,'Other India financials'!$A:$A,0),MATCH(AR267,'Other India financials'!$1:$1,0)),"")</f>
        <v>12718.116070999999</v>
      </c>
      <c r="AS268" s="317">
        <f>IFERROR(INDEX('Other India financials'!$A:$ABB,MATCH($AA268,'Other India financials'!$A:$A,0),MATCH(AS267,'Other India financials'!$1:$1,0)),"")</f>
        <v>13155.006759000004</v>
      </c>
      <c r="AT268" s="317">
        <f>IFERROR(INDEX('Other India financials'!$A:$ABB,MATCH($AA268,'Other India financials'!$A:$A,0),MATCH(AT267,'Other India financials'!$1:$1,0)),"")</f>
        <v>13670</v>
      </c>
      <c r="AU268" s="317">
        <f>IFERROR(INDEX('Other India financials'!$A:$ABB,MATCH($AA268,'Other India financials'!$A:$A,0),MATCH(AU267,'Other India financials'!$1:$1,0)),"")</f>
        <v>14321</v>
      </c>
    </row>
    <row r="269" spans="1:47">
      <c r="A269" s="49"/>
      <c r="B269" s="49"/>
      <c r="C269" s="49"/>
      <c r="D269" s="49"/>
      <c r="E269" s="49"/>
      <c r="F269" s="49"/>
      <c r="G269" s="49"/>
      <c r="H269" s="49"/>
      <c r="I269" s="49"/>
      <c r="J269" s="49"/>
      <c r="K269" s="49"/>
      <c r="L269" s="49"/>
      <c r="M269" s="49"/>
      <c r="N269" s="49"/>
      <c r="O269" s="49"/>
      <c r="P269" s="49"/>
      <c r="Q269" s="49"/>
      <c r="R269" s="49"/>
      <c r="S269" s="49"/>
      <c r="T269" s="49"/>
      <c r="U269" s="49"/>
      <c r="V269" s="49"/>
      <c r="W269" s="49"/>
      <c r="AA269" s="316" t="str">
        <f>'Other India financials'!A15</f>
        <v>Total revenues DTV</v>
      </c>
      <c r="AB269" s="317">
        <f>IFERROR(INDEX('Other India financials'!$A:$ABB,MATCH($AA269,'Other India financials'!$A:$A,0),MATCH(AB267,'Other India financials'!$1:$1,0)),"")</f>
        <v>7921.6576299999997</v>
      </c>
      <c r="AC269" s="317">
        <f>IFERROR(INDEX('Other India financials'!$A:$ABB,MATCH($AA269,'Other India financials'!$A:$A,0),MATCH(AC267,'Other India financials'!$1:$1,0)),"")</f>
        <v>6034.7938980000017</v>
      </c>
      <c r="AD269" s="317">
        <f>IFERROR(INDEX('Other India financials'!$A:$ABB,MATCH($AA269,'Other India financials'!$A:$A,0),MATCH(AD267,'Other India financials'!$1:$1,0)),"")</f>
        <v>7448.2672670000002</v>
      </c>
      <c r="AE269" s="317">
        <f>IFERROR(INDEX('Other India financials'!$A:$ABB,MATCH($AA269,'Other India financials'!$A:$A,0),MATCH(AE267,'Other India financials'!$1:$1,0)),"")</f>
        <v>7548.4164109999992</v>
      </c>
      <c r="AF269" s="317">
        <f>IFERROR(INDEX('Other India financials'!$A:$ABB,MATCH($AA269,'Other India financials'!$A:$A,0),MATCH(AF267,'Other India financials'!$1:$1,0)),"")</f>
        <v>7892.0325370000019</v>
      </c>
      <c r="AG269" s="317">
        <f>IFERROR(INDEX('Other India financials'!$A:$ABB,MATCH($AA269,'Other India financials'!$A:$A,0),MATCH(AG267,'Other India financials'!$1:$1,0)),"")</f>
        <v>7673.1986040000002</v>
      </c>
      <c r="AH269" s="317">
        <f>IFERROR(INDEX('Other India financials'!$A:$ABB,MATCH($AA269,'Other India financials'!$A:$A,0),MATCH(AH267,'Other India financials'!$1:$1,0)),"")</f>
        <v>8094.5149229999997</v>
      </c>
      <c r="AI269" s="317">
        <f>IFERROR(INDEX('Other India financials'!$A:$ABB,MATCH($AA269,'Other India financials'!$A:$A,0),MATCH(AI267,'Other India financials'!$1:$1,0)),"")</f>
        <v>7979</v>
      </c>
      <c r="AJ269" s="317">
        <f>IFERROR(INDEX('Other India financials'!$A:$ABB,MATCH($AA269,'Other India financials'!$A:$A,0),MATCH(AJ267,'Other India financials'!$1:$1,0)),"")</f>
        <v>7912.4453920000005</v>
      </c>
      <c r="AK269" s="317">
        <f>IFERROR(INDEX('Other India financials'!$A:$ABB,MATCH($AA269,'Other India financials'!$A:$A,0),MATCH(AK267,'Other India financials'!$1:$1,0)),"")</f>
        <v>7551.7784139999994</v>
      </c>
      <c r="AL269" s="317">
        <f>IFERROR(INDEX('Other India financials'!$A:$ABB,MATCH($AA269,'Other India financials'!$A:$A,0),MATCH(AL267,'Other India financials'!$1:$1,0)),"")</f>
        <v>7481.7754379999997</v>
      </c>
      <c r="AM269" s="317">
        <f>IFERROR(INDEX('Other India financials'!$A:$ABB,MATCH($AA269,'Other India financials'!$A:$A,0),MATCH(AM267,'Other India financials'!$1:$1,0)),"")</f>
        <v>7288.047474</v>
      </c>
      <c r="AN269" s="317">
        <f>IFERROR(INDEX('Other India financials'!$A:$ABB,MATCH($AA269,'Other India financials'!$A:$A,0),MATCH(AN267,'Other India financials'!$1:$1,0)),"")</f>
        <v>7390.2210090000017</v>
      </c>
      <c r="AO269" s="317">
        <f>IFERROR(INDEX('Other India financials'!$A:$ABB,MATCH($AA269,'Other India financials'!$A:$A,0),MATCH(AO267,'Other India financials'!$1:$1,0)),"")</f>
        <v>7290.4513539999998</v>
      </c>
      <c r="AP269" s="317">
        <f>IFERROR(INDEX('Other India financials'!$A:$ABB,MATCH($AA269,'Other India financials'!$A:$A,0),MATCH(AP267,'Other India financials'!$1:$1,0)),"")</f>
        <v>7403.2364610000004</v>
      </c>
      <c r="AQ269" s="317">
        <f>IFERROR(INDEX('Other India financials'!$A:$ABB,MATCH($AA269,'Other India financials'!$A:$A,0),MATCH(AQ267,'Other India financials'!$1:$1,0)),"")</f>
        <v>7514.5563480000001</v>
      </c>
      <c r="AR269" s="317">
        <f>IFERROR(INDEX('Other India financials'!$A:$ABB,MATCH($AA269,'Other India financials'!$A:$A,0),MATCH(AR267,'Other India financials'!$1:$1,0)),"")</f>
        <v>7837.163896</v>
      </c>
      <c r="AS269" s="317">
        <f>IFERROR(INDEX('Other India financials'!$A:$ABB,MATCH($AA269,'Other India financials'!$A:$A,0),MATCH(AS267,'Other India financials'!$1:$1,0)),"")</f>
        <v>7693.4150569999965</v>
      </c>
      <c r="AT269" s="317">
        <f>IFERROR(INDEX('Other India financials'!$A:$ABB,MATCH($AA269,'Other India financials'!$A:$A,0),MATCH(AT267,'Other India financials'!$1:$1,0)),"")</f>
        <v>7771</v>
      </c>
      <c r="AU269" s="317">
        <f>IFERROR(INDEX('Other India financials'!$A:$ABB,MATCH($AA269,'Other India financials'!$A:$A,0),MATCH(AU267,'Other India financials'!$1:$1,0)),"")</f>
        <v>7586</v>
      </c>
    </row>
    <row r="270" spans="1:47">
      <c r="A270" s="49"/>
      <c r="B270" s="49"/>
      <c r="C270" s="49"/>
      <c r="D270" s="49"/>
      <c r="E270" s="49"/>
      <c r="F270" s="49"/>
      <c r="G270" s="49"/>
      <c r="H270" s="49"/>
      <c r="I270" s="49"/>
      <c r="J270" s="49"/>
      <c r="K270" s="49"/>
      <c r="L270" s="49"/>
      <c r="M270" s="49"/>
      <c r="N270" s="49"/>
      <c r="O270" s="49"/>
      <c r="P270" s="49"/>
      <c r="Q270" s="49"/>
      <c r="R270" s="49"/>
      <c r="S270" s="49"/>
      <c r="T270" s="49"/>
      <c r="U270" s="49"/>
      <c r="V270" s="49"/>
      <c r="W270" s="49"/>
      <c r="AA270" s="316" t="str">
        <f>'Other India financials'!A25</f>
        <v>Total revenues Bus.</v>
      </c>
      <c r="AB270" s="317">
        <f>IFERROR(INDEX('Other India financials'!$A:$ABB,MATCH($AA270,'Other India financials'!$A:$A,0),MATCH(AB267,'Other India financials'!$1:$1,0)),"")</f>
        <v>33176.344185077003</v>
      </c>
      <c r="AC270" s="317">
        <f>IFERROR(INDEX('Other India financials'!$A:$ABB,MATCH($AA270,'Other India financials'!$A:$A,0),MATCH(AC267,'Other India financials'!$1:$1,0)),"")</f>
        <v>33762.460538964995</v>
      </c>
      <c r="AD270" s="317">
        <f>IFERROR(INDEX('Other India financials'!$A:$ABB,MATCH($AA270,'Other India financials'!$A:$A,0),MATCH(AD267,'Other India financials'!$1:$1,0)),"")</f>
        <v>35019.394650412993</v>
      </c>
      <c r="AE270" s="317">
        <f>IFERROR(INDEX('Other India financials'!$A:$ABB,MATCH($AA270,'Other India financials'!$A:$A,0),MATCH(AE267,'Other India financials'!$1:$1,0)),"")</f>
        <v>35820.581256796992</v>
      </c>
      <c r="AF270" s="317">
        <f>IFERROR(INDEX('Other India financials'!$A:$ABB,MATCH($AA270,'Other India financials'!$A:$A,0),MATCH(AF267,'Other India financials'!$1:$1,0)),"")</f>
        <v>36214.320874482997</v>
      </c>
      <c r="AG270" s="317">
        <f>IFERROR(INDEX('Other India financials'!$A:$ABB,MATCH($AA270,'Other India financials'!$A:$A,0),MATCH(AG267,'Other India financials'!$1:$1,0)),"")</f>
        <v>37020.960182455041</v>
      </c>
      <c r="AH270" s="317">
        <f>IFERROR(INDEX('Other India financials'!$A:$ABB,MATCH($AA270,'Other India financials'!$A:$A,0),MATCH(AH267,'Other India financials'!$1:$1,0)),"")</f>
        <v>37893.218485680001</v>
      </c>
      <c r="AI270" s="317">
        <f>IFERROR(INDEX('Other India financials'!$A:$ABB,MATCH($AA270,'Other India financials'!$A:$A,0),MATCH(AI267,'Other India financials'!$1:$1,0)),"")</f>
        <v>39953</v>
      </c>
      <c r="AJ270" s="317">
        <f>IFERROR(INDEX('Other India financials'!$A:$ABB,MATCH($AA270,'Other India financials'!$A:$A,0),MATCH(AJ267,'Other India financials'!$1:$1,0)),"")</f>
        <v>41058.526125466982</v>
      </c>
      <c r="AK270" s="317">
        <f>IFERROR(INDEX('Other India financials'!$A:$ABB,MATCH($AA270,'Other India financials'!$A:$A,0),MATCH(AK267,'Other India financials'!$1:$1,0)),"")</f>
        <v>41798.319524299972</v>
      </c>
      <c r="AL270" s="317">
        <f>IFERROR(INDEX('Other India financials'!$A:$ABB,MATCH($AA270,'Other India financials'!$A:$A,0),MATCH(AL267,'Other India financials'!$1:$1,0)),"")</f>
        <v>43656.237966409004</v>
      </c>
      <c r="AM270" s="317">
        <f>IFERROR(INDEX('Other India financials'!$A:$ABB,MATCH($AA270,'Other India financials'!$A:$A,0),MATCH(AM267,'Other India financials'!$1:$1,0)),"")</f>
        <v>46645.534046103006</v>
      </c>
      <c r="AN270" s="317">
        <f>IFERROR(INDEX('Other India financials'!$A:$ABB,MATCH($AA270,'Other India financials'!$A:$A,0),MATCH(AN267,'Other India financials'!$1:$1,0)),"")</f>
        <v>47779.058184985988</v>
      </c>
      <c r="AO270" s="317">
        <f>IFERROR(INDEX('Other India financials'!$A:$ABB,MATCH($AA270,'Other India financials'!$A:$A,0),MATCH(AO267,'Other India financials'!$1:$1,0)),"")</f>
        <v>47849.530726049976</v>
      </c>
      <c r="AP270" s="317">
        <f>IFERROR(INDEX('Other India financials'!$A:$ABB,MATCH($AA270,'Other India financials'!$A:$A,0),MATCH(AP267,'Other India financials'!$1:$1,0)),"")</f>
        <v>50545.195438034993</v>
      </c>
      <c r="AQ270" s="317">
        <f>IFERROR(INDEX('Other India financials'!$A:$ABB,MATCH($AA270,'Other India financials'!$A:$A,0),MATCH(AQ267,'Other India financials'!$1:$1,0)),"")</f>
        <v>51100.110061839005</v>
      </c>
      <c r="AR270" s="317">
        <f>IFERROR(INDEX('Other India financials'!$A:$ABB,MATCH($AA270,'Other India financials'!$A:$A,0),MATCH(AR267,'Other India financials'!$1:$1,0)),"")</f>
        <v>51948.010027724027</v>
      </c>
      <c r="AS270" s="317">
        <f>IFERROR(INDEX('Other India financials'!$A:$ABB,MATCH($AA270,'Other India financials'!$A:$A,0),MATCH(AS267,'Other India financials'!$1:$1,0)),"")</f>
        <v>54616.101027068944</v>
      </c>
      <c r="AT270" s="317">
        <f>IFERROR(INDEX('Other India financials'!$A:$ABB,MATCH($AA270,'Other India financials'!$A:$A,0),MATCH(AT267,'Other India financials'!$1:$1,0)),"")</f>
        <v>54765</v>
      </c>
      <c r="AU270" s="317">
        <f>IFERROR(INDEX('Other India financials'!$A:$ABB,MATCH($AA270,'Other India financials'!$A:$A,0),MATCH(AU267,'Other India financials'!$1:$1,0)),"")</f>
        <v>56555</v>
      </c>
    </row>
    <row r="271" spans="1:47">
      <c r="A271" s="49"/>
      <c r="B271" s="49"/>
      <c r="C271" s="49"/>
      <c r="D271" s="49"/>
      <c r="E271" s="49"/>
      <c r="F271" s="49"/>
      <c r="G271" s="49"/>
      <c r="H271" s="49"/>
      <c r="I271" s="49"/>
      <c r="J271" s="49"/>
      <c r="K271" s="49"/>
      <c r="L271" s="49"/>
      <c r="M271" s="49"/>
      <c r="N271" s="49"/>
      <c r="O271" s="49"/>
      <c r="P271" s="49"/>
      <c r="Q271" s="49"/>
      <c r="R271" s="49"/>
      <c r="S271" s="49"/>
      <c r="T271" s="49"/>
      <c r="U271" s="49"/>
      <c r="V271" s="49"/>
      <c r="W271" s="49"/>
    </row>
    <row r="272" spans="1:47">
      <c r="A272" s="49"/>
      <c r="B272" s="49"/>
      <c r="C272" s="49"/>
      <c r="D272" s="49"/>
      <c r="E272" s="49"/>
      <c r="F272" s="49"/>
      <c r="G272" s="49"/>
      <c r="H272" s="49"/>
      <c r="I272" s="49"/>
      <c r="J272" s="49"/>
      <c r="K272" s="49"/>
      <c r="L272" s="49"/>
      <c r="M272" s="49"/>
      <c r="N272" s="49"/>
      <c r="O272" s="49"/>
      <c r="P272" s="49"/>
      <c r="Q272" s="49"/>
      <c r="R272" s="49"/>
      <c r="S272" s="49"/>
      <c r="T272" s="49"/>
      <c r="U272" s="49"/>
      <c r="V272" s="49"/>
      <c r="W272" s="49"/>
    </row>
    <row r="273" spans="1:47">
      <c r="A273" s="49"/>
      <c r="B273" s="49"/>
      <c r="C273" s="49"/>
      <c r="D273" s="49"/>
      <c r="E273" s="49"/>
      <c r="F273" s="49"/>
      <c r="G273" s="49"/>
      <c r="H273" s="49"/>
      <c r="I273" s="49"/>
      <c r="J273" s="49"/>
      <c r="K273" s="49"/>
      <c r="L273" s="49"/>
      <c r="M273" s="49"/>
      <c r="N273" s="49"/>
      <c r="O273" s="49"/>
      <c r="P273" s="49"/>
      <c r="Q273" s="49"/>
      <c r="R273" s="49"/>
      <c r="S273" s="49"/>
      <c r="T273" s="49"/>
      <c r="U273" s="49"/>
      <c r="V273" s="49"/>
      <c r="W273" s="49"/>
      <c r="AB273" s="303">
        <f t="shared" ref="AB273" si="419">AC273-1</f>
        <v>35</v>
      </c>
      <c r="AC273" s="303">
        <f t="shared" ref="AC273" si="420">AD273-1</f>
        <v>36</v>
      </c>
      <c r="AD273" s="303">
        <f t="shared" ref="AD273" si="421">AE273-1</f>
        <v>37</v>
      </c>
      <c r="AE273" s="303">
        <f t="shared" ref="AE273" si="422">AF273-1</f>
        <v>38</v>
      </c>
      <c r="AF273" s="303">
        <f t="shared" ref="AF273" si="423">AG273-1</f>
        <v>39</v>
      </c>
      <c r="AG273" s="303">
        <f t="shared" ref="AG273" si="424">AH273-1</f>
        <v>40</v>
      </c>
      <c r="AH273" s="303">
        <f t="shared" ref="AH273" si="425">AI273-1</f>
        <v>41</v>
      </c>
      <c r="AI273" s="303">
        <f t="shared" ref="AI273" si="426">AJ273-1</f>
        <v>42</v>
      </c>
      <c r="AJ273" s="303">
        <f t="shared" ref="AJ273" si="427">AK273-1</f>
        <v>43</v>
      </c>
      <c r="AK273" s="303">
        <f t="shared" ref="AK273" si="428">AL273-1</f>
        <v>44</v>
      </c>
      <c r="AL273" s="303">
        <f t="shared" ref="AL273" si="429">AM273-1</f>
        <v>45</v>
      </c>
      <c r="AM273" s="303">
        <f t="shared" ref="AM273" si="430">AN273-1</f>
        <v>46</v>
      </c>
      <c r="AN273" s="303">
        <f t="shared" ref="AN273" si="431">AO273-1</f>
        <v>47</v>
      </c>
      <c r="AO273" s="303">
        <f t="shared" ref="AO273" si="432">AP273-1</f>
        <v>48</v>
      </c>
      <c r="AP273" s="303">
        <f t="shared" ref="AP273" si="433">AQ273-1</f>
        <v>49</v>
      </c>
      <c r="AQ273" s="303">
        <f t="shared" ref="AQ273" si="434">AR273-1</f>
        <v>50</v>
      </c>
      <c r="AR273" s="303">
        <f t="shared" ref="AR273" si="435">AS273-1</f>
        <v>51</v>
      </c>
      <c r="AS273" s="303">
        <f t="shared" ref="AS273" si="436">AT273-1</f>
        <v>52</v>
      </c>
      <c r="AT273" s="303">
        <f t="shared" ref="AT273" si="437">AU273-1</f>
        <v>53</v>
      </c>
      <c r="AU273" s="303">
        <f>VLOOKUP(AU274,Dates!$A:$D,2,FALSE)</f>
        <v>54</v>
      </c>
    </row>
    <row r="274" spans="1:47">
      <c r="A274" s="49"/>
      <c r="B274" s="49"/>
      <c r="C274" s="49"/>
      <c r="D274" s="49"/>
      <c r="E274" s="49"/>
      <c r="F274" s="49"/>
      <c r="G274" s="49"/>
      <c r="H274" s="49"/>
      <c r="I274" s="49"/>
      <c r="J274" s="49"/>
      <c r="K274" s="49"/>
      <c r="L274" s="49"/>
      <c r="M274" s="49"/>
      <c r="N274" s="49"/>
      <c r="O274" s="49"/>
      <c r="P274" s="49"/>
      <c r="Q274" s="49"/>
      <c r="R274" s="49"/>
      <c r="S274" s="49"/>
      <c r="T274" s="49"/>
      <c r="U274" s="49"/>
      <c r="V274" s="49"/>
      <c r="W274" s="49"/>
      <c r="AB274" s="303" t="str">
        <f>IFERROR(VLOOKUP(AB273,Dates!$B:$D,3,FALSE),"")</f>
        <v>3Q20</v>
      </c>
      <c r="AC274" s="303" t="str">
        <f>IFERROR(VLOOKUP(AC273,Dates!$B:$D,3,FALSE),"")</f>
        <v>4Q20</v>
      </c>
      <c r="AD274" s="303" t="str">
        <f>IFERROR(VLOOKUP(AD273,Dates!$B:$D,3,FALSE),"")</f>
        <v>1Q21</v>
      </c>
      <c r="AE274" s="303" t="str">
        <f>IFERROR(VLOOKUP(AE273,Dates!$B:$D,3,FALSE),"")</f>
        <v>2Q21</v>
      </c>
      <c r="AF274" s="303" t="str">
        <f>IFERROR(VLOOKUP(AF273,Dates!$B:$D,3,FALSE),"")</f>
        <v>3Q21</v>
      </c>
      <c r="AG274" s="303" t="str">
        <f>IFERROR(VLOOKUP(AG273,Dates!$B:$D,3,FALSE),"")</f>
        <v>4Q21</v>
      </c>
      <c r="AH274" s="303" t="str">
        <f>IFERROR(VLOOKUP(AH273,Dates!$B:$D,3,FALSE),"")</f>
        <v>1Q22</v>
      </c>
      <c r="AI274" s="303" t="str">
        <f>IFERROR(VLOOKUP(AI273,Dates!$B:$D,3,FALSE),"")</f>
        <v>2Q22</v>
      </c>
      <c r="AJ274" s="303" t="str">
        <f>IFERROR(VLOOKUP(AJ273,Dates!$B:$D,3,FALSE),"")</f>
        <v>3Q22</v>
      </c>
      <c r="AK274" s="303" t="str">
        <f>IFERROR(VLOOKUP(AK273,Dates!$B:$D,3,FALSE),"")</f>
        <v>4Q22</v>
      </c>
      <c r="AL274" s="303" t="str">
        <f>IFERROR(VLOOKUP(AL273,Dates!$B:$D,3,FALSE),"")</f>
        <v>1Q23</v>
      </c>
      <c r="AM274" s="303" t="str">
        <f>IFERROR(VLOOKUP(AM273,Dates!$B:$D,3,FALSE),"")</f>
        <v>2Q23</v>
      </c>
      <c r="AN274" s="303" t="str">
        <f>IFERROR(VLOOKUP(AN273,Dates!$B:$D,3,FALSE),"")</f>
        <v>3Q23</v>
      </c>
      <c r="AO274" s="303" t="str">
        <f>IFERROR(VLOOKUP(AO273,Dates!$B:$D,3,FALSE),"")</f>
        <v>4Q23</v>
      </c>
      <c r="AP274" s="303" t="str">
        <f>IFERROR(VLOOKUP(AP273,Dates!$B:$D,3,FALSE),"")</f>
        <v>1Q24</v>
      </c>
      <c r="AQ274" s="303" t="str">
        <f>IFERROR(VLOOKUP(AQ273,Dates!$B:$D,3,FALSE),"")</f>
        <v>2Q24</v>
      </c>
      <c r="AR274" s="303" t="str">
        <f>IFERROR(VLOOKUP(AR273,Dates!$B:$D,3,FALSE),"")</f>
        <v>3Q24</v>
      </c>
      <c r="AS274" s="303" t="str">
        <f>IFERROR(VLOOKUP(AS273,Dates!$B:$D,3,FALSE),"")</f>
        <v>4Q24</v>
      </c>
      <c r="AT274" s="303" t="str">
        <f>IFERROR(VLOOKUP(AT273,Dates!$B:$D,3,FALSE),"")</f>
        <v>1Q25</v>
      </c>
      <c r="AU274" s="315" t="str">
        <f>$G$3</f>
        <v>2Q25</v>
      </c>
    </row>
    <row r="275" spans="1:47">
      <c r="A275" s="49"/>
      <c r="B275" s="49"/>
      <c r="C275" s="49"/>
      <c r="D275" s="49"/>
      <c r="E275" s="49"/>
      <c r="F275" s="49"/>
      <c r="G275" s="49"/>
      <c r="H275" s="49"/>
      <c r="I275" s="49"/>
      <c r="J275" s="49"/>
      <c r="K275" s="49"/>
      <c r="L275" s="49"/>
      <c r="M275" s="49"/>
      <c r="N275" s="49"/>
      <c r="O275" s="49"/>
      <c r="P275" s="49"/>
      <c r="Q275" s="49"/>
      <c r="R275" s="49"/>
      <c r="S275" s="49"/>
      <c r="T275" s="49"/>
      <c r="U275" s="49"/>
      <c r="V275" s="49"/>
      <c r="W275" s="49"/>
      <c r="AA275" s="316" t="str">
        <f>'Other India financials'!A118</f>
        <v>'Other' Indian revs as % of total</v>
      </c>
      <c r="AB275" s="318">
        <f>IFERROR(INDEX('Other India financials'!$A:$ABB,MATCH($AA275,'Other India financials'!$A:$A,0),MATCH(AB274,'Other India financials'!$1:$1,0)),"")</f>
        <v>0.21253093923605856</v>
      </c>
      <c r="AC275" s="318">
        <f>IFERROR(INDEX('Other India financials'!$A:$ABB,MATCH($AA275,'Other India financials'!$A:$A,0),MATCH(AC274,'Other India financials'!$1:$1,0)),"")</f>
        <v>0.19776253427849966</v>
      </c>
      <c r="AD275" s="318">
        <f>IFERROR(INDEX('Other India financials'!$A:$ABB,MATCH($AA275,'Other India financials'!$A:$A,0),MATCH(AD274,'Other India financials'!$1:$1,0)),"")</f>
        <v>0.20718198006643535</v>
      </c>
      <c r="AE275" s="318">
        <f>IFERROR(INDEX('Other India financials'!$A:$ABB,MATCH($AA275,'Other India financials'!$A:$A,0),MATCH(AE274,'Other India financials'!$1:$1,0)),"")</f>
        <v>0.19649494819634558</v>
      </c>
      <c r="AF275" s="318">
        <f>IFERROR(INDEX('Other India financials'!$A:$ABB,MATCH($AA275,'Other India financials'!$A:$A,0),MATCH(AF274,'Other India financials'!$1:$1,0)),"")</f>
        <v>0.18772346255527608</v>
      </c>
      <c r="AG275" s="318">
        <f>IFERROR(INDEX('Other India financials'!$A:$ABB,MATCH($AA275,'Other India financials'!$A:$A,0),MATCH(AG274,'Other India financials'!$1:$1,0)),"")</f>
        <v>0.19692646520005996</v>
      </c>
      <c r="AH275" s="318">
        <f>IFERROR(INDEX('Other India financials'!$A:$ABB,MATCH($AA275,'Other India financials'!$A:$A,0),MATCH(AH274,'Other India financials'!$1:$1,0)),"")</f>
        <v>0.19558027980859177</v>
      </c>
      <c r="AI275" s="318">
        <f>IFERROR(INDEX('Other India financials'!$A:$ABB,MATCH($AA275,'Other India financials'!$A:$A,0),MATCH(AI274,'Other India financials'!$1:$1,0)),"")</f>
        <v>0.19437344667871667</v>
      </c>
      <c r="AJ275" s="318">
        <f>IFERROR(INDEX('Other India financials'!$A:$ABB,MATCH($AA275,'Other India financials'!$A:$A,0),MATCH(AJ274,'Other India financials'!$1:$1,0)),"")</f>
        <v>0.19064677880798944</v>
      </c>
      <c r="AK275" s="318">
        <f>IFERROR(INDEX('Other India financials'!$A:$ABB,MATCH($AA275,'Other India financials'!$A:$A,0),MATCH(AK274,'Other India financials'!$1:$1,0)),"")</f>
        <v>0.1844812772808512</v>
      </c>
      <c r="AL275" s="318">
        <f>IFERROR(INDEX('Other India financials'!$A:$ABB,MATCH($AA275,'Other India financials'!$A:$A,0),MATCH(AL274,'Other India financials'!$1:$1,0)),"")</f>
        <v>0.1841284519531072</v>
      </c>
      <c r="AM275" s="318">
        <f>IFERROR(INDEX('Other India financials'!$A:$ABB,MATCH($AA275,'Other India financials'!$A:$A,0),MATCH(AM274,'Other India financials'!$1:$1,0)),"")</f>
        <v>0.18487666062624689</v>
      </c>
      <c r="AN275" s="318">
        <f>IFERROR(INDEX('Other India financials'!$A:$ABB,MATCH($AA275,'Other India financials'!$A:$A,0),MATCH(AN274,'Other India financials'!$1:$1,0)),"")</f>
        <v>0.18297312169729416</v>
      </c>
      <c r="AO275" s="318">
        <f>IFERROR(INDEX('Other India financials'!$A:$ABB,MATCH($AA275,'Other India financials'!$A:$A,0),MATCH(AO274,'Other India financials'!$1:$1,0)),"")</f>
        <v>0.1835817229666194</v>
      </c>
      <c r="AP275" s="318">
        <f>IFERROR(INDEX('Other India financials'!$A:$ABB,MATCH($AA275,'Other India financials'!$A:$A,0),MATCH(AP274,'Other India financials'!$1:$1,0)),"")</f>
        <v>0.18581557386761482</v>
      </c>
      <c r="AQ275" s="318">
        <f>IFERROR(INDEX('Other India financials'!$A:$ABB,MATCH($AA275,'Other India financials'!$A:$A,0),MATCH(AQ274,'Other India financials'!$1:$1,0)),"")</f>
        <v>0.19118477064404574</v>
      </c>
      <c r="AR275" s="318">
        <f>IFERROR(INDEX('Other India financials'!$A:$ABB,MATCH($AA275,'Other India financials'!$A:$A,0),MATCH(AR274,'Other India financials'!$1:$1,0)),"")</f>
        <v>0.1913040805148459</v>
      </c>
      <c r="AS275" s="318">
        <f>IFERROR(INDEX('Other India financials'!$A:$ABB,MATCH($AA275,'Other India financials'!$A:$A,0),MATCH(AS274,'Other India financials'!$1:$1,0)),"")</f>
        <v>0.20070832238821926</v>
      </c>
      <c r="AT275" s="318">
        <f>IFERROR(INDEX('Other India financials'!$A:$ABB,MATCH($AA275,'Other India financials'!$A:$A,0),MATCH(AT274,'Other India financials'!$1:$1,0)),"")</f>
        <v>0.19790476388340639</v>
      </c>
      <c r="AU275" s="318">
        <f>IFERROR(INDEX('Other India financials'!$A:$ABB,MATCH($AA275,'Other India financials'!$A:$A,0),MATCH(AU274,'Other India financials'!$1:$1,0)),"")</f>
        <v>0.18918677799933933</v>
      </c>
    </row>
    <row r="276" spans="1:47">
      <c r="A276" s="49"/>
      <c r="B276" s="49"/>
      <c r="C276" s="49"/>
      <c r="D276" s="49"/>
      <c r="E276" s="49"/>
      <c r="F276" s="49"/>
      <c r="G276" s="49"/>
      <c r="H276" s="49"/>
      <c r="I276" s="49"/>
      <c r="J276" s="49"/>
      <c r="K276" s="49"/>
      <c r="L276" s="49"/>
      <c r="M276" s="49"/>
      <c r="N276" s="49"/>
      <c r="O276" s="49"/>
      <c r="P276" s="49"/>
      <c r="Q276" s="49"/>
      <c r="R276" s="49"/>
      <c r="S276" s="49"/>
      <c r="T276" s="49"/>
      <c r="U276" s="49"/>
      <c r="V276" s="49"/>
      <c r="W276" s="49"/>
      <c r="AA276" s="316" t="str">
        <f>'Other India financials'!A119</f>
        <v>'Other' Indian revs as % of India</v>
      </c>
      <c r="AB276" s="318">
        <f>IFERROR(INDEX('Other India financials'!$A:$ABB,MATCH($AA276,'Other India financials'!$A:$A,0),MATCH(AB274,'Other India financials'!$1:$1,0)),"")</f>
        <v>0.26660119063187637</v>
      </c>
      <c r="AC276" s="318">
        <f>IFERROR(INDEX('Other India financials'!$A:$ABB,MATCH($AA276,'Other India financials'!$A:$A,0),MATCH(AC274,'Other India financials'!$1:$1,0)),"")</f>
        <v>0.23724804002561364</v>
      </c>
      <c r="AD276" s="318">
        <f>IFERROR(INDEX('Other India financials'!$A:$ABB,MATCH($AA276,'Other India financials'!$A:$A,0),MATCH(AD274,'Other India financials'!$1:$1,0)),"")</f>
        <v>0.24944187247447416</v>
      </c>
      <c r="AE276" s="318">
        <f>IFERROR(INDEX('Other India financials'!$A:$ABB,MATCH($AA276,'Other India financials'!$A:$A,0),MATCH(AE274,'Other India financials'!$1:$1,0)),"")</f>
        <v>0.23994364426821416</v>
      </c>
      <c r="AF276" s="318">
        <f>IFERROR(INDEX('Other India financials'!$A:$ABB,MATCH($AA276,'Other India financials'!$A:$A,0),MATCH(AF274,'Other India financials'!$1:$1,0)),"")</f>
        <v>0.25196290536905913</v>
      </c>
      <c r="AG276" s="318">
        <f>IFERROR(INDEX('Other India financials'!$A:$ABB,MATCH($AA276,'Other India financials'!$A:$A,0),MATCH(AG274,'Other India financials'!$1:$1,0)),"")</f>
        <v>0.26476922717219542</v>
      </c>
      <c r="AH276" s="318">
        <f>IFERROR(INDEX('Other India financials'!$A:$ABB,MATCH($AA276,'Other India financials'!$A:$A,0),MATCH(AH274,'Other India financials'!$1:$1,0)),"")</f>
        <v>0.2685419351622213</v>
      </c>
      <c r="AI276" s="318">
        <f>IFERROR(INDEX('Other India financials'!$A:$ABB,MATCH($AA276,'Other India financials'!$A:$A,0),MATCH(AI274,'Other India financials'!$1:$1,0)),"")</f>
        <v>0.26602020553405514</v>
      </c>
      <c r="AJ276" s="318">
        <f>IFERROR(INDEX('Other India financials'!$A:$ABB,MATCH($AA276,'Other India financials'!$A:$A,0),MATCH(AJ274,'Other India financials'!$1:$1,0)),"")</f>
        <v>0.26225837931224943</v>
      </c>
      <c r="AK276" s="318">
        <f>IFERROR(INDEX('Other India financials'!$A:$ABB,MATCH($AA276,'Other India financials'!$A:$A,0),MATCH(AK274,'Other India financials'!$1:$1,0)),"")</f>
        <v>0.24900846161581522</v>
      </c>
      <c r="AL276" s="318">
        <f>IFERROR(INDEX('Other India financials'!$A:$ABB,MATCH($AA276,'Other India financials'!$A:$A,0),MATCH(AL274,'Other India financials'!$1:$1,0)),"")</f>
        <v>0.24979689904925478</v>
      </c>
      <c r="AM276" s="318">
        <f>IFERROR(INDEX('Other India financials'!$A:$ABB,MATCH($AA276,'Other India financials'!$A:$A,0),MATCH(AM274,'Other India financials'!$1:$1,0)),"")</f>
        <v>0.25264529916644685</v>
      </c>
      <c r="AN276" s="318">
        <f>IFERROR(INDEX('Other India financials'!$A:$ABB,MATCH($AA276,'Other India financials'!$A:$A,0),MATCH(AN274,'Other India financials'!$1:$1,0)),"")</f>
        <v>0.25290570553996139</v>
      </c>
      <c r="AO276" s="318">
        <f>IFERROR(INDEX('Other India financials'!$A:$ABB,MATCH($AA276,'Other India financials'!$A:$A,0),MATCH(AO274,'Other India financials'!$1:$1,0)),"")</f>
        <v>0.25269998105022962</v>
      </c>
      <c r="AP276" s="318">
        <f>IFERROR(INDEX('Other India financials'!$A:$ABB,MATCH($AA276,'Other India financials'!$A:$A,0),MATCH(AP274,'Other India financials'!$1:$1,0)),"")</f>
        <v>0.25437268684774411</v>
      </c>
      <c r="AQ276" s="318">
        <f>IFERROR(INDEX('Other India financials'!$A:$ABB,MATCH($AA276,'Other India financials'!$A:$A,0),MATCH(AQ274,'Other India financials'!$1:$1,0)),"")</f>
        <v>0.25262658078096312</v>
      </c>
      <c r="AR276" s="318">
        <f>IFERROR(INDEX('Other India financials'!$A:$ABB,MATCH($AA276,'Other India financials'!$A:$A,0),MATCH(AR274,'Other India financials'!$1:$1,0)),"")</f>
        <v>0.25097296835835542</v>
      </c>
      <c r="AS276" s="318">
        <f>IFERROR(INDEX('Other India financials'!$A:$ABB,MATCH($AA276,'Other India financials'!$A:$A,0),MATCH(AS274,'Other India financials'!$1:$1,0)),"")</f>
        <v>0.25484327273288276</v>
      </c>
      <c r="AT276" s="318">
        <f>IFERROR(INDEX('Other India financials'!$A:$ABB,MATCH($AA276,'Other India financials'!$A:$A,0),MATCH(AT274,'Other India financials'!$1:$1,0)),"")</f>
        <v>0.25277265122376114</v>
      </c>
      <c r="AU276" s="318">
        <f>IFERROR(INDEX('Other India financials'!$A:$ABB,MATCH($AA276,'Other India financials'!$A:$A,0),MATCH(AU274,'Other India financials'!$1:$1,0)),"")</f>
        <v>0.24006755743759045</v>
      </c>
    </row>
    <row r="277" spans="1:47">
      <c r="A277" s="49"/>
      <c r="B277" s="49"/>
      <c r="C277" s="49"/>
      <c r="D277" s="49"/>
      <c r="E277" s="49"/>
      <c r="F277" s="49"/>
      <c r="G277" s="49"/>
      <c r="H277" s="49"/>
      <c r="I277" s="49"/>
      <c r="J277" s="49"/>
      <c r="K277" s="49"/>
      <c r="L277" s="49"/>
      <c r="M277" s="49"/>
      <c r="N277" s="49"/>
      <c r="O277" s="49"/>
      <c r="P277" s="49"/>
      <c r="Q277" s="49"/>
      <c r="R277" s="49"/>
      <c r="S277" s="49"/>
      <c r="T277" s="49"/>
      <c r="U277" s="49"/>
      <c r="V277" s="49"/>
      <c r="W277" s="49"/>
    </row>
    <row r="278" spans="1:47">
      <c r="A278" s="49"/>
      <c r="B278" s="49"/>
      <c r="C278" s="49"/>
      <c r="D278" s="49"/>
      <c r="E278" s="49"/>
      <c r="F278" s="49"/>
      <c r="G278" s="49"/>
      <c r="H278" s="49"/>
      <c r="I278" s="49"/>
      <c r="J278" s="49"/>
      <c r="K278" s="49"/>
      <c r="L278" s="49"/>
      <c r="M278" s="49"/>
      <c r="N278" s="49"/>
      <c r="O278" s="49"/>
      <c r="P278" s="49"/>
      <c r="Q278" s="49"/>
      <c r="R278" s="49"/>
      <c r="S278" s="49"/>
      <c r="T278" s="49"/>
      <c r="U278" s="49"/>
      <c r="V278" s="49"/>
      <c r="W278" s="49"/>
    </row>
    <row r="279" spans="1:47">
      <c r="A279" s="49"/>
      <c r="B279" s="49"/>
      <c r="C279" s="49"/>
      <c r="D279" s="49"/>
      <c r="E279" s="49"/>
      <c r="F279" s="49"/>
      <c r="G279" s="49"/>
      <c r="H279" s="49"/>
      <c r="I279" s="49"/>
      <c r="J279" s="49"/>
      <c r="K279" s="49"/>
      <c r="L279" s="49"/>
      <c r="M279" s="49"/>
      <c r="N279" s="49"/>
      <c r="O279" s="49"/>
      <c r="P279" s="49"/>
      <c r="Q279" s="49"/>
      <c r="R279" s="49"/>
      <c r="S279" s="49"/>
      <c r="T279" s="49"/>
      <c r="U279" s="49"/>
      <c r="V279" s="49"/>
      <c r="W279" s="49"/>
    </row>
    <row r="280" spans="1:47">
      <c r="A280" s="49"/>
      <c r="B280" s="49"/>
      <c r="C280" s="49"/>
      <c r="D280" s="49"/>
      <c r="E280" s="49"/>
      <c r="F280" s="49"/>
      <c r="G280" s="49"/>
      <c r="H280" s="49"/>
      <c r="I280" s="49"/>
      <c r="J280" s="49"/>
      <c r="K280" s="49"/>
      <c r="L280" s="49"/>
      <c r="M280" s="49"/>
      <c r="N280" s="49"/>
      <c r="O280" s="49"/>
      <c r="P280" s="49"/>
      <c r="Q280" s="49"/>
      <c r="R280" s="49"/>
      <c r="S280" s="49"/>
      <c r="T280" s="49"/>
      <c r="U280" s="49"/>
      <c r="V280" s="49"/>
      <c r="W280" s="49"/>
    </row>
    <row r="281" spans="1:47">
      <c r="A281" s="49"/>
      <c r="B281" s="49"/>
      <c r="C281" s="49"/>
      <c r="D281" s="49"/>
      <c r="E281" s="49"/>
      <c r="F281" s="49"/>
      <c r="G281" s="49"/>
      <c r="H281" s="49"/>
      <c r="I281" s="49"/>
      <c r="J281" s="49"/>
      <c r="K281" s="49" t="s">
        <v>562</v>
      </c>
      <c r="L281" s="49"/>
      <c r="M281" s="49"/>
      <c r="N281" s="49"/>
      <c r="O281" s="49"/>
      <c r="P281" s="49"/>
      <c r="Q281" s="49"/>
      <c r="R281" s="49"/>
      <c r="S281" s="49"/>
      <c r="T281" s="49"/>
      <c r="U281" s="49"/>
      <c r="V281" s="49"/>
      <c r="W281" s="49"/>
    </row>
    <row r="282" spans="1:47">
      <c r="A282" s="1" t="s">
        <v>445</v>
      </c>
      <c r="B282" s="52" t="s">
        <v>539</v>
      </c>
      <c r="C282" s="1"/>
      <c r="D282" s="1"/>
      <c r="E282" s="1"/>
      <c r="F282" s="1"/>
      <c r="G282" s="1"/>
      <c r="H282" s="1"/>
      <c r="I282" s="1"/>
      <c r="J282" s="1"/>
      <c r="K282" s="1" t="s">
        <v>446</v>
      </c>
      <c r="L282" s="52" t="s">
        <v>540</v>
      </c>
      <c r="M282" s="1"/>
      <c r="N282" s="1"/>
      <c r="O282" s="1"/>
      <c r="P282" s="1"/>
      <c r="Q282" s="1"/>
      <c r="R282" s="1"/>
      <c r="S282" s="1"/>
      <c r="T282" s="1"/>
      <c r="U282" s="49"/>
      <c r="V282" s="49"/>
      <c r="W282" s="49"/>
    </row>
    <row r="283" spans="1:47">
      <c r="A283" s="49"/>
      <c r="B283" s="49"/>
      <c r="C283" s="49"/>
      <c r="D283" s="49"/>
      <c r="E283" s="49"/>
      <c r="F283" s="49"/>
      <c r="G283" s="49"/>
      <c r="H283" s="49"/>
      <c r="I283" s="49"/>
      <c r="J283" s="49"/>
      <c r="K283" s="49"/>
      <c r="L283" s="49"/>
      <c r="M283" s="49"/>
      <c r="N283" s="49"/>
      <c r="O283" s="49"/>
      <c r="P283" s="49"/>
      <c r="Q283" s="49"/>
      <c r="R283" s="49"/>
      <c r="S283" s="49"/>
      <c r="T283" s="49"/>
      <c r="U283" s="49"/>
      <c r="V283" s="49"/>
      <c r="W283" s="49"/>
    </row>
    <row r="284" spans="1:47">
      <c r="A284" s="49"/>
      <c r="B284" s="49"/>
      <c r="C284" s="49"/>
      <c r="D284" s="49"/>
      <c r="E284" s="49"/>
      <c r="F284" s="49"/>
      <c r="G284" s="49"/>
      <c r="H284" s="49"/>
      <c r="I284" s="49"/>
      <c r="J284" s="49"/>
      <c r="K284" s="49"/>
      <c r="L284" s="49"/>
      <c r="M284" s="49"/>
      <c r="N284" s="49"/>
      <c r="O284" s="49"/>
      <c r="P284" s="49"/>
      <c r="Q284" s="49"/>
      <c r="R284" s="49"/>
      <c r="S284" s="49"/>
      <c r="T284" s="49"/>
      <c r="U284" s="49"/>
      <c r="V284" s="49"/>
      <c r="W284" s="49"/>
    </row>
    <row r="285" spans="1:47">
      <c r="A285" s="49"/>
      <c r="B285" s="49"/>
      <c r="C285" s="49"/>
      <c r="D285" s="49"/>
      <c r="E285" s="49"/>
      <c r="F285" s="49"/>
      <c r="G285" s="49"/>
      <c r="H285" s="49"/>
      <c r="I285" s="49"/>
      <c r="J285" s="49"/>
      <c r="K285" s="49"/>
      <c r="L285" s="49"/>
      <c r="M285" s="49"/>
      <c r="N285" s="49"/>
      <c r="O285" s="49"/>
      <c r="P285" s="49"/>
      <c r="Q285" s="49"/>
      <c r="R285" s="49"/>
      <c r="S285" s="49"/>
      <c r="T285" s="49"/>
      <c r="U285" s="49"/>
      <c r="V285" s="49"/>
      <c r="W285" s="49"/>
    </row>
    <row r="286" spans="1:47">
      <c r="A286" s="49"/>
      <c r="B286" s="49"/>
      <c r="C286" s="49"/>
      <c r="D286" s="49"/>
      <c r="E286" s="49"/>
      <c r="F286" s="49"/>
      <c r="G286" s="49"/>
      <c r="H286" s="49"/>
      <c r="I286" s="49"/>
      <c r="J286" s="49"/>
      <c r="K286" s="49"/>
      <c r="L286" s="49"/>
      <c r="M286" s="49"/>
      <c r="N286" s="49"/>
      <c r="O286" s="49"/>
      <c r="P286" s="49"/>
      <c r="Q286" s="49"/>
      <c r="R286" s="49"/>
      <c r="S286" s="49"/>
      <c r="T286" s="49"/>
      <c r="U286" s="49"/>
      <c r="V286" s="49"/>
      <c r="W286" s="49"/>
      <c r="AB286" s="303">
        <f t="shared" ref="AB286" si="438">AC286-1</f>
        <v>35</v>
      </c>
      <c r="AC286" s="303">
        <f t="shared" ref="AC286" si="439">AD286-1</f>
        <v>36</v>
      </c>
      <c r="AD286" s="303">
        <f t="shared" ref="AD286" si="440">AE286-1</f>
        <v>37</v>
      </c>
      <c r="AE286" s="303">
        <f t="shared" ref="AE286" si="441">AF286-1</f>
        <v>38</v>
      </c>
      <c r="AF286" s="303">
        <f t="shared" ref="AF286" si="442">AG286-1</f>
        <v>39</v>
      </c>
      <c r="AG286" s="303">
        <f t="shared" ref="AG286" si="443">AH286-1</f>
        <v>40</v>
      </c>
      <c r="AH286" s="303">
        <f t="shared" ref="AH286" si="444">AI286-1</f>
        <v>41</v>
      </c>
      <c r="AI286" s="303">
        <f t="shared" ref="AI286" si="445">AJ286-1</f>
        <v>42</v>
      </c>
      <c r="AJ286" s="303">
        <f t="shared" ref="AJ286" si="446">AK286-1</f>
        <v>43</v>
      </c>
      <c r="AK286" s="303">
        <f t="shared" ref="AK286" si="447">AL286-1</f>
        <v>44</v>
      </c>
      <c r="AL286" s="303">
        <f t="shared" ref="AL286" si="448">AM286-1</f>
        <v>45</v>
      </c>
      <c r="AM286" s="303">
        <f t="shared" ref="AM286" si="449">AN286-1</f>
        <v>46</v>
      </c>
      <c r="AN286" s="303">
        <f t="shared" ref="AN286" si="450">AO286-1</f>
        <v>47</v>
      </c>
      <c r="AO286" s="303">
        <f t="shared" ref="AO286" si="451">AP286-1</f>
        <v>48</v>
      </c>
      <c r="AP286" s="303">
        <f t="shared" ref="AP286" si="452">AQ286-1</f>
        <v>49</v>
      </c>
      <c r="AQ286" s="303">
        <f t="shared" ref="AQ286" si="453">AR286-1</f>
        <v>50</v>
      </c>
      <c r="AR286" s="303">
        <f t="shared" ref="AR286" si="454">AS286-1</f>
        <v>51</v>
      </c>
      <c r="AS286" s="303">
        <f t="shared" ref="AS286" si="455">AT286-1</f>
        <v>52</v>
      </c>
      <c r="AT286" s="303">
        <f t="shared" ref="AT286" si="456">AU286-1</f>
        <v>53</v>
      </c>
      <c r="AU286" s="303">
        <f>VLOOKUP(AU287,Dates!$A:$D,2,FALSE)</f>
        <v>54</v>
      </c>
    </row>
    <row r="287" spans="1:47">
      <c r="A287" s="49"/>
      <c r="B287" s="49"/>
      <c r="C287" s="49"/>
      <c r="D287" s="49"/>
      <c r="E287" s="49"/>
      <c r="F287" s="49"/>
      <c r="G287" s="49"/>
      <c r="H287" s="49"/>
      <c r="I287" s="49"/>
      <c r="J287" s="49"/>
      <c r="K287" s="49"/>
      <c r="L287" s="49"/>
      <c r="M287" s="49"/>
      <c r="N287" s="49"/>
      <c r="O287" s="49"/>
      <c r="P287" s="49"/>
      <c r="Q287" s="49"/>
      <c r="R287" s="49"/>
      <c r="S287" s="49"/>
      <c r="T287" s="49"/>
      <c r="U287" s="49"/>
      <c r="V287" s="49"/>
      <c r="W287" s="49"/>
      <c r="AB287" s="303" t="str">
        <f>IFERROR(VLOOKUP(AB286,Dates!$B:$D,3,FALSE),"")</f>
        <v>3Q20</v>
      </c>
      <c r="AC287" s="303" t="str">
        <f>IFERROR(VLOOKUP(AC286,Dates!$B:$D,3,FALSE),"")</f>
        <v>4Q20</v>
      </c>
      <c r="AD287" s="303" t="str">
        <f>IFERROR(VLOOKUP(AD286,Dates!$B:$D,3,FALSE),"")</f>
        <v>1Q21</v>
      </c>
      <c r="AE287" s="303" t="str">
        <f>IFERROR(VLOOKUP(AE286,Dates!$B:$D,3,FALSE),"")</f>
        <v>2Q21</v>
      </c>
      <c r="AF287" s="303" t="str">
        <f>IFERROR(VLOOKUP(AF286,Dates!$B:$D,3,FALSE),"")</f>
        <v>3Q21</v>
      </c>
      <c r="AG287" s="303" t="str">
        <f>IFERROR(VLOOKUP(AG286,Dates!$B:$D,3,FALSE),"")</f>
        <v>4Q21</v>
      </c>
      <c r="AH287" s="303" t="str">
        <f>IFERROR(VLOOKUP(AH286,Dates!$B:$D,3,FALSE),"")</f>
        <v>1Q22</v>
      </c>
      <c r="AI287" s="303" t="str">
        <f>IFERROR(VLOOKUP(AI286,Dates!$B:$D,3,FALSE),"")</f>
        <v>2Q22</v>
      </c>
      <c r="AJ287" s="303" t="str">
        <f>IFERROR(VLOOKUP(AJ286,Dates!$B:$D,3,FALSE),"")</f>
        <v>3Q22</v>
      </c>
      <c r="AK287" s="303" t="str">
        <f>IFERROR(VLOOKUP(AK286,Dates!$B:$D,3,FALSE),"")</f>
        <v>4Q22</v>
      </c>
      <c r="AL287" s="303" t="str">
        <f>IFERROR(VLOOKUP(AL286,Dates!$B:$D,3,FALSE),"")</f>
        <v>1Q23</v>
      </c>
      <c r="AM287" s="303" t="str">
        <f>IFERROR(VLOOKUP(AM286,Dates!$B:$D,3,FALSE),"")</f>
        <v>2Q23</v>
      </c>
      <c r="AN287" s="303" t="str">
        <f>IFERROR(VLOOKUP(AN286,Dates!$B:$D,3,FALSE),"")</f>
        <v>3Q23</v>
      </c>
      <c r="AO287" s="303" t="str">
        <f>IFERROR(VLOOKUP(AO286,Dates!$B:$D,3,FALSE),"")</f>
        <v>4Q23</v>
      </c>
      <c r="AP287" s="303" t="str">
        <f>IFERROR(VLOOKUP(AP286,Dates!$B:$D,3,FALSE),"")</f>
        <v>1Q24</v>
      </c>
      <c r="AQ287" s="303" t="str">
        <f>IFERROR(VLOOKUP(AQ286,Dates!$B:$D,3,FALSE),"")</f>
        <v>2Q24</v>
      </c>
      <c r="AR287" s="303" t="str">
        <f>IFERROR(VLOOKUP(AR286,Dates!$B:$D,3,FALSE),"")</f>
        <v>3Q24</v>
      </c>
      <c r="AS287" s="303" t="str">
        <f>IFERROR(VLOOKUP(AS286,Dates!$B:$D,3,FALSE),"")</f>
        <v>4Q24</v>
      </c>
      <c r="AT287" s="303" t="str">
        <f>IFERROR(VLOOKUP(AT286,Dates!$B:$D,3,FALSE),"")</f>
        <v>1Q25</v>
      </c>
      <c r="AU287" s="315" t="str">
        <f>$G$3</f>
        <v>2Q25</v>
      </c>
    </row>
    <row r="288" spans="1:47">
      <c r="A288" s="49"/>
      <c r="B288" s="49"/>
      <c r="C288" s="49"/>
      <c r="D288" s="49"/>
      <c r="E288" s="49"/>
      <c r="F288" s="49"/>
      <c r="G288" s="49"/>
      <c r="H288" s="49"/>
      <c r="I288" s="49"/>
      <c r="J288" s="49"/>
      <c r="K288" s="49"/>
      <c r="L288" s="49"/>
      <c r="M288" s="49"/>
      <c r="N288" s="49"/>
      <c r="O288" s="49"/>
      <c r="P288" s="49"/>
      <c r="Q288" s="49"/>
      <c r="R288" s="49"/>
      <c r="S288" s="49"/>
      <c r="T288" s="49"/>
      <c r="U288" s="49"/>
      <c r="V288" s="49"/>
      <c r="W288" s="49"/>
      <c r="AA288" s="316" t="str">
        <f>'Other India financials'!A64</f>
        <v>Homes Services Revenue Growth YoY</v>
      </c>
      <c r="AB288" s="318">
        <f>IFERROR(INDEX('Other India financials'!$A:$ABB,MATCH($AA288,'Other India financials'!$A:$A,0),MATCH(AB287,'Other India financials'!$1:$1,0)),"")</f>
        <v>7.9104601029496013E-3</v>
      </c>
      <c r="AC288" s="318">
        <f>IFERROR(INDEX('Other India financials'!$A:$ABB,MATCH($AA288,'Other India financials'!$A:$A,0),MATCH(AC287,'Other India financials'!$1:$1,0)),"")</f>
        <v>3.4234909675314951E-2</v>
      </c>
      <c r="AD288" s="318">
        <f>IFERROR(INDEX('Other India financials'!$A:$ABB,MATCH($AA288,'Other India financials'!$A:$A,0),MATCH(AD287,'Other India financials'!$1:$1,0)),"")</f>
        <v>1.418708859121609E-2</v>
      </c>
      <c r="AE288" s="318">
        <f>IFERROR(INDEX('Other India financials'!$A:$ABB,MATCH($AA288,'Other India financials'!$A:$A,0),MATCH(AE287,'Other India financials'!$1:$1,0)),"")</f>
        <v>7.2771201826483889E-2</v>
      </c>
      <c r="AF288" s="318">
        <f>IFERROR(INDEX('Other India financials'!$A:$ABB,MATCH($AA288,'Other India financials'!$A:$A,0),MATCH(AF287,'Other India financials'!$1:$1,0)),"")</f>
        <v>2.2970493372342915E-2</v>
      </c>
      <c r="AG288" s="318">
        <f>IFERROR(INDEX('Other India financials'!$A:$ABB,MATCH($AA288,'Other India financials'!$A:$A,0),MATCH(AG287,'Other India financials'!$1:$1,0)),"")</f>
        <v>4.9602356106049239E-2</v>
      </c>
      <c r="AH288" s="318">
        <f>IFERROR(INDEX('Other India financials'!$A:$ABB,MATCH($AA288,'Other India financials'!$A:$A,0),MATCH(AH287,'Other India financials'!$1:$1,0)),"")</f>
        <v>0.12910749101335894</v>
      </c>
      <c r="AI288" s="318">
        <f>IFERROR(INDEX('Other India financials'!$A:$ABB,MATCH($AA288,'Other India financials'!$A:$A,0),MATCH(AI287,'Other India financials'!$1:$1,0)),"")</f>
        <v>0.21343223755544249</v>
      </c>
      <c r="AJ288" s="318">
        <f>IFERROR(INDEX('Other India financials'!$A:$ABB,MATCH($AA288,'Other India financials'!$A:$A,0),MATCH(AJ287,'Other India financials'!$1:$1,0)),"")</f>
        <v>0.40448533569251621</v>
      </c>
      <c r="AK288" s="318">
        <f>IFERROR(INDEX('Other India financials'!$A:$ABB,MATCH($AA288,'Other India financials'!$A:$A,0),MATCH(AK287,'Other India financials'!$1:$1,0)),"")</f>
        <v>0.45813414753843862</v>
      </c>
      <c r="AL288" s="318">
        <f>IFERROR(INDEX('Other India financials'!$A:$ABB,MATCH($AA288,'Other India financials'!$A:$A,0),MATCH(AL287,'Other India financials'!$1:$1,0)),"")</f>
        <v>0.41820574678160805</v>
      </c>
      <c r="AM288" s="318">
        <f>IFERROR(INDEX('Other India financials'!$A:$ABB,MATCH($AA288,'Other India financials'!$A:$A,0),MATCH(AM287,'Other India financials'!$1:$1,0)),"")</f>
        <v>0.38886113946962308</v>
      </c>
      <c r="AN288" s="318">
        <f>IFERROR(INDEX('Other India financials'!$A:$ABB,MATCH($AA288,'Other India financials'!$A:$A,0),MATCH(AN287,'Other India financials'!$1:$1,0)),"")</f>
        <v>0.29796555930054858</v>
      </c>
      <c r="AO288" s="318">
        <f>IFERROR(INDEX('Other India financials'!$A:$ABB,MATCH($AA288,'Other India financials'!$A:$A,0),MATCH(AO287,'Other India financials'!$1:$1,0)),"")</f>
        <v>0.25152797801392346</v>
      </c>
      <c r="AP288" s="318">
        <f>IFERROR(INDEX('Other India financials'!$A:$ABB,MATCH($AA288,'Other India financials'!$A:$A,0),MATCH(AP287,'Other India financials'!$1:$1,0)),"")</f>
        <v>0.25433727031560771</v>
      </c>
      <c r="AQ288" s="318">
        <f>IFERROR(INDEX('Other India financials'!$A:$ABB,MATCH($AA288,'Other India financials'!$A:$A,0),MATCH(AQ287,'Other India financials'!$1:$1,0)),"")</f>
        <v>0.23327216569506537</v>
      </c>
      <c r="AR288" s="318">
        <f>IFERROR(INDEX('Other India financials'!$A:$ABB,MATCH($AA288,'Other India financials'!$A:$A,0),MATCH(AR287,'Other India financials'!$1:$1,0)),"")</f>
        <v>0.22961738597627068</v>
      </c>
      <c r="AS288" s="318">
        <f>IFERROR(INDEX('Other India financials'!$A:$ABB,MATCH($AA288,'Other India financials'!$A:$A,0),MATCH(AS287,'Other India financials'!$1:$1,0)),"")</f>
        <v>0.19962193073887713</v>
      </c>
      <c r="AT288" s="318">
        <f>IFERROR(INDEX('Other India financials'!$A:$ABB,MATCH($AA288,'Other India financials'!$A:$A,0),MATCH(AT287,'Other India financials'!$1:$1,0)),"")</f>
        <v>0.17632693684398437</v>
      </c>
      <c r="AU288" s="318">
        <f>IFERROR(INDEX('Other India financials'!$A:$ABB,MATCH($AA288,'Other India financials'!$A:$A,0),MATCH(AU287,'Other India financials'!$1:$1,0)),"")</f>
        <v>0.17313726280755581</v>
      </c>
    </row>
    <row r="289" spans="1:47">
      <c r="A289" s="49"/>
      <c r="B289" s="49"/>
      <c r="C289" s="49"/>
      <c r="D289" s="49"/>
      <c r="E289" s="49"/>
      <c r="F289" s="49"/>
      <c r="G289" s="49"/>
      <c r="H289" s="49"/>
      <c r="I289" s="49"/>
      <c r="J289" s="49"/>
      <c r="K289" s="49"/>
      <c r="L289" s="49"/>
      <c r="M289" s="49"/>
      <c r="N289" s="49"/>
      <c r="O289" s="49"/>
      <c r="P289" s="49"/>
      <c r="Q289" s="49"/>
      <c r="R289" s="49"/>
      <c r="S289" s="49"/>
      <c r="T289" s="49"/>
      <c r="U289" s="49"/>
      <c r="V289" s="49"/>
      <c r="W289" s="49"/>
      <c r="AA289" s="316" t="str">
        <f>'Other India financials'!A78</f>
        <v>DTV Revenue Growth YoY</v>
      </c>
      <c r="AB289" s="318">
        <f>IFERROR(INDEX('Other India financials'!$A:$ABB,MATCH($AA289,'Other India financials'!$A:$A,0),MATCH(AB287,'Other India financials'!$1:$1,0)),"")</f>
        <v>-0.23310357215352573</v>
      </c>
      <c r="AC289" s="318">
        <f>IFERROR(INDEX('Other India financials'!$A:$ABB,MATCH($AA289,'Other India financials'!$A:$A,0),MATCH(AC287,'Other India financials'!$1:$1,0)),"")</f>
        <v>-0.42556823538808763</v>
      </c>
      <c r="AD289" s="318">
        <f>IFERROR(INDEX('Other India financials'!$A:$ABB,MATCH($AA289,'Other India financials'!$A:$A,0),MATCH(AD287,'Other India financials'!$1:$1,0)),"")</f>
        <v>7.9650143881180302E-3</v>
      </c>
      <c r="AE289" s="318">
        <f>IFERROR(INDEX('Other India financials'!$A:$ABB,MATCH($AA289,'Other India financials'!$A:$A,0),MATCH(AE287,'Other India financials'!$1:$1,0)),"")</f>
        <v>-4.3656859115672186E-2</v>
      </c>
      <c r="AF289" s="318">
        <f>IFERROR(INDEX('Other India financials'!$A:$ABB,MATCH($AA289,'Other India financials'!$A:$A,0),MATCH(AF287,'Other India financials'!$1:$1,0)),"")</f>
        <v>-3.7397593261042639E-3</v>
      </c>
      <c r="AG289" s="318">
        <f>IFERROR(INDEX('Other India financials'!$A:$ABB,MATCH($AA289,'Other India financials'!$A:$A,0),MATCH(AG287,'Other India financials'!$1:$1,0)),"")</f>
        <v>0.27149306731800471</v>
      </c>
      <c r="AH289" s="318">
        <f>IFERROR(INDEX('Other India financials'!$A:$ABB,MATCH($AA289,'Other India financials'!$A:$A,0),MATCH(AH287,'Other India financials'!$1:$1,0)),"")</f>
        <v>8.6764831716396484E-2</v>
      </c>
      <c r="AI289" s="318">
        <f>IFERROR(INDEX('Other India financials'!$A:$ABB,MATCH($AA289,'Other India financials'!$A:$A,0),MATCH(AI287,'Other India financials'!$1:$1,0)),"")</f>
        <v>5.7042903511858256E-2</v>
      </c>
      <c r="AJ289" s="318">
        <f>IFERROR(INDEX('Other India financials'!$A:$ABB,MATCH($AA289,'Other India financials'!$A:$A,0),MATCH(AJ287,'Other India financials'!$1:$1,0)),"")</f>
        <v>2.5865142983505507E-3</v>
      </c>
      <c r="AK289" s="318">
        <f>IFERROR(INDEX('Other India financials'!$A:$ABB,MATCH($AA289,'Other India financials'!$A:$A,0),MATCH(AK287,'Other India financials'!$1:$1,0)),"")</f>
        <v>-1.5823934224340919E-2</v>
      </c>
      <c r="AL289" s="318">
        <f>IFERROR(INDEX('Other India financials'!$A:$ABB,MATCH($AA289,'Other India financials'!$A:$A,0),MATCH(AL287,'Other India financials'!$1:$1,0)),"")</f>
        <v>-7.5698110489480164E-2</v>
      </c>
      <c r="AM289" s="318">
        <f>IFERROR(INDEX('Other India financials'!$A:$ABB,MATCH($AA289,'Other India financials'!$A:$A,0),MATCH(AM287,'Other India financials'!$1:$1,0)),"")</f>
        <v>-8.6596381250783283E-2</v>
      </c>
      <c r="AN289" s="318">
        <f>IFERROR(INDEX('Other India financials'!$A:$ABB,MATCH($AA289,'Other India financials'!$A:$A,0),MATCH(AN287,'Other India financials'!$1:$1,0)),"")</f>
        <v>-6.600037752273169E-2</v>
      </c>
      <c r="AO289" s="318">
        <f>IFERROR(INDEX('Other India financials'!$A:$ABB,MATCH($AA289,'Other India financials'!$A:$A,0),MATCH(AO287,'Other India financials'!$1:$1,0)),"")</f>
        <v>-3.4604704438299438E-2</v>
      </c>
      <c r="AP289" s="318">
        <f>IFERROR(INDEX('Other India financials'!$A:$ABB,MATCH($AA289,'Other India financials'!$A:$A,0),MATCH(AP287,'Other India financials'!$1:$1,0)),"")</f>
        <v>-1.0497371599941241E-2</v>
      </c>
      <c r="AQ289" s="318">
        <f>IFERROR(INDEX('Other India financials'!$A:$ABB,MATCH($AA289,'Other India financials'!$A:$A,0),MATCH(AQ287,'Other India financials'!$1:$1,0)),"")</f>
        <v>3.1079500347393152E-2</v>
      </c>
      <c r="AR289" s="318">
        <f>IFERROR(INDEX('Other India financials'!$A:$ABB,MATCH($AA289,'Other India financials'!$A:$A,0),MATCH(AR287,'Other India financials'!$1:$1,0)),"")</f>
        <v>6.0477607700189173E-2</v>
      </c>
      <c r="AS289" s="318">
        <f>IFERROR(INDEX('Other India financials'!$A:$ABB,MATCH($AA289,'Other India financials'!$A:$A,0),MATCH(AS287,'Other India financials'!$1:$1,0)),"")</f>
        <v>5.5272805953078041E-2</v>
      </c>
      <c r="AT289" s="318">
        <f>IFERROR(INDEX('Other India financials'!$A:$ABB,MATCH($AA289,'Other India financials'!$A:$A,0),MATCH(AT287,'Other India financials'!$1:$1,0)),"")</f>
        <v>4.9676049243782217E-2</v>
      </c>
      <c r="AU289" s="318">
        <f>IFERROR(INDEX('Other India financials'!$A:$ABB,MATCH($AA289,'Other India financials'!$A:$A,0),MATCH(AU287,'Other India financials'!$1:$1,0)),"")</f>
        <v>9.507367925854382E-3</v>
      </c>
    </row>
    <row r="290" spans="1:47">
      <c r="A290" s="49"/>
      <c r="B290" s="49"/>
      <c r="C290" s="49"/>
      <c r="D290" s="49"/>
      <c r="E290" s="49"/>
      <c r="F290" s="49"/>
      <c r="G290" s="49"/>
      <c r="H290" s="49"/>
      <c r="I290" s="49"/>
      <c r="J290" s="49"/>
      <c r="K290" s="49"/>
      <c r="L290" s="49"/>
      <c r="M290" s="49"/>
      <c r="N290" s="49"/>
      <c r="O290" s="49"/>
      <c r="P290" s="49"/>
      <c r="Q290" s="49"/>
      <c r="R290" s="49"/>
      <c r="S290" s="49"/>
      <c r="T290" s="49"/>
      <c r="U290" s="49"/>
      <c r="V290" s="49"/>
      <c r="W290" s="49"/>
      <c r="AA290" s="316" t="str">
        <f>'Other India financials'!A91</f>
        <v>Airtel Business Revenue Growth YoY</v>
      </c>
      <c r="AB290" s="318">
        <f>IFERROR(INDEX('Other India financials'!$A:$ABB,MATCH($AA290,'Other India financials'!$A:$A,0),MATCH(AB287,'Other India financials'!$1:$1,0)),"")</f>
        <v>6.6212972780335111E-2</v>
      </c>
      <c r="AC290" s="318">
        <f>IFERROR(INDEX('Other India financials'!$A:$ABB,MATCH($AA290,'Other India financials'!$A:$A,0),MATCH(AC287,'Other India financials'!$1:$1,0)),"")</f>
        <v>0.1239205477314016</v>
      </c>
      <c r="AD290" s="318">
        <f>IFERROR(INDEX('Other India financials'!$A:$ABB,MATCH($AA290,'Other India financials'!$A:$A,0),MATCH(AD287,'Other India financials'!$1:$1,0)),"")</f>
        <v>9.1612806401444979E-2</v>
      </c>
      <c r="AE290" s="318">
        <f>IFERROR(INDEX('Other India financials'!$A:$ABB,MATCH($AA290,'Other India financials'!$A:$A,0),MATCH(AE287,'Other India financials'!$1:$1,0)),"")</f>
        <v>7.5305633309227682E-2</v>
      </c>
      <c r="AF290" s="318">
        <f>IFERROR(INDEX('Other India financials'!$A:$ABB,MATCH($AA290,'Other India financials'!$A:$A,0),MATCH(AF287,'Other India financials'!$1:$1,0)),"")</f>
        <v>9.1570568247616002E-2</v>
      </c>
      <c r="AG290" s="318">
        <f>IFERROR(INDEX('Other India financials'!$A:$ABB,MATCH($AA290,'Other India financials'!$A:$A,0),MATCH(AG287,'Other India financials'!$1:$1,0)),"")</f>
        <v>9.6512505056597808E-2</v>
      </c>
      <c r="AH290" s="318">
        <f>IFERROR(INDEX('Other India financials'!$A:$ABB,MATCH($AA290,'Other India financials'!$A:$A,0),MATCH(AH287,'Other India financials'!$1:$1,0)),"")</f>
        <v>8.206377819935029E-2</v>
      </c>
      <c r="AI290" s="318">
        <f>IFERROR(INDEX('Other India financials'!$A:$ABB,MATCH($AA290,'Other India financials'!$A:$A,0),MATCH(AI287,'Other India financials'!$1:$1,0)),"")</f>
        <v>0.1153643687012722</v>
      </c>
      <c r="AJ290" s="318">
        <f>IFERROR(INDEX('Other India financials'!$A:$ABB,MATCH($AA290,'Other India financials'!$A:$A,0),MATCH(AJ287,'Other India financials'!$1:$1,0)),"")</f>
        <v>0.1337649066449087</v>
      </c>
      <c r="AK290" s="318">
        <f>IFERROR(INDEX('Other India financials'!$A:$ABB,MATCH($AA290,'Other India financials'!$A:$A,0),MATCH(AK287,'Other India financials'!$1:$1,0)),"")</f>
        <v>0.12904471732499845</v>
      </c>
      <c r="AL290" s="318">
        <f>IFERROR(INDEX('Other India financials'!$A:$ABB,MATCH($AA290,'Other India financials'!$A:$A,0),MATCH(AL287,'Other India financials'!$1:$1,0)),"")</f>
        <v>0.15208577447457694</v>
      </c>
      <c r="AM290" s="318">
        <f>IFERROR(INDEX('Other India financials'!$A:$ABB,MATCH($AA290,'Other India financials'!$A:$A,0),MATCH(AM287,'Other India financials'!$1:$1,0)),"")</f>
        <v>0.16751017560891568</v>
      </c>
      <c r="AN290" s="318">
        <f>IFERROR(INDEX('Other India financials'!$A:$ABB,MATCH($AA290,'Other India financials'!$A:$A,0),MATCH(AN287,'Other India financials'!$1:$1,0)),"")</f>
        <v>0.16368176585253802</v>
      </c>
      <c r="AO290" s="318">
        <f>IFERROR(INDEX('Other India financials'!$A:$ABB,MATCH($AA290,'Other India financials'!$A:$A,0),MATCH(AO287,'Other India financials'!$1:$1,0)),"")</f>
        <v>0.14478807146958461</v>
      </c>
      <c r="AP290" s="318">
        <f>IFERROR(INDEX('Other India financials'!$A:$ABB,MATCH($AA290,'Other India financials'!$A:$A,0),MATCH(AP287,'Other India financials'!$1:$1,0)),"")</f>
        <v>0.15780007147951314</v>
      </c>
      <c r="AQ290" s="318">
        <f>IFERROR(INDEX('Other India financials'!$A:$ABB,MATCH($AA290,'Other India financials'!$A:$A,0),MATCH(AQ287,'Other India financials'!$1:$1,0)),"")</f>
        <v>9.5498446032008744E-2</v>
      </c>
      <c r="AR290" s="318">
        <f>IFERROR(INDEX('Other India financials'!$A:$ABB,MATCH($AA290,'Other India financials'!$A:$A,0),MATCH(AR287,'Other India financials'!$1:$1,0)),"")</f>
        <v>8.7254793231736016E-2</v>
      </c>
      <c r="AS290" s="318">
        <f>IFERROR(INDEX('Other India financials'!$A:$ABB,MATCH($AA290,'Other India financials'!$A:$A,0),MATCH(AS287,'Other India financials'!$1:$1,0)),"")</f>
        <v>0.14141351437194238</v>
      </c>
      <c r="AT290" s="318">
        <f>IFERROR(INDEX('Other India financials'!$A:$ABB,MATCH($AA290,'Other India financials'!$A:$A,0),MATCH(AT287,'Other India financials'!$1:$1,0)),"")</f>
        <v>8.3485770020183203E-2</v>
      </c>
      <c r="AU290" s="318">
        <f>IFERROR(INDEX('Other India financials'!$A:$ABB,MATCH($AA290,'Other India financials'!$A:$A,0),MATCH(AU287,'Other India financials'!$1:$1,0)),"")</f>
        <v>0.10674908393660476</v>
      </c>
    </row>
    <row r="291" spans="1:47">
      <c r="A291" s="49"/>
      <c r="B291" s="49"/>
      <c r="C291" s="49"/>
      <c r="D291" s="49"/>
      <c r="E291" s="49"/>
      <c r="F291" s="49"/>
      <c r="G291" s="49"/>
      <c r="H291" s="49"/>
      <c r="I291" s="49"/>
      <c r="J291" s="49"/>
      <c r="K291" s="49"/>
      <c r="L291" s="49"/>
      <c r="M291" s="49"/>
      <c r="N291" s="49"/>
      <c r="O291" s="49"/>
      <c r="P291" s="49"/>
      <c r="Q291" s="49"/>
      <c r="R291" s="49"/>
      <c r="S291" s="49"/>
      <c r="T291" s="49"/>
      <c r="U291" s="49"/>
      <c r="V291" s="49"/>
      <c r="W291" s="49"/>
    </row>
    <row r="292" spans="1:47">
      <c r="A292" s="49"/>
      <c r="B292" s="49"/>
      <c r="C292" s="49"/>
      <c r="D292" s="49"/>
      <c r="E292" s="49"/>
      <c r="F292" s="49"/>
      <c r="G292" s="49"/>
      <c r="H292" s="49"/>
      <c r="I292" s="49"/>
      <c r="J292" s="49"/>
      <c r="K292" s="49"/>
      <c r="L292" s="49"/>
      <c r="M292" s="49"/>
      <c r="N292" s="49"/>
      <c r="O292" s="49"/>
      <c r="P292" s="49"/>
      <c r="Q292" s="49"/>
      <c r="R292" s="49"/>
      <c r="S292" s="49"/>
      <c r="T292" s="49"/>
      <c r="U292" s="49"/>
      <c r="V292" s="49"/>
      <c r="W292" s="49"/>
      <c r="AB292" s="303">
        <f t="shared" ref="AB292" si="457">AC292-1</f>
        <v>35</v>
      </c>
      <c r="AC292" s="303">
        <f t="shared" ref="AC292" si="458">AD292-1</f>
        <v>36</v>
      </c>
      <c r="AD292" s="303">
        <f t="shared" ref="AD292" si="459">AE292-1</f>
        <v>37</v>
      </c>
      <c r="AE292" s="303">
        <f t="shared" ref="AE292" si="460">AF292-1</f>
        <v>38</v>
      </c>
      <c r="AF292" s="303">
        <f t="shared" ref="AF292" si="461">AG292-1</f>
        <v>39</v>
      </c>
      <c r="AG292" s="303">
        <f t="shared" ref="AG292" si="462">AH292-1</f>
        <v>40</v>
      </c>
      <c r="AH292" s="303">
        <f t="shared" ref="AH292" si="463">AI292-1</f>
        <v>41</v>
      </c>
      <c r="AI292" s="303">
        <f t="shared" ref="AI292" si="464">AJ292-1</f>
        <v>42</v>
      </c>
      <c r="AJ292" s="303">
        <f t="shared" ref="AJ292" si="465">AK292-1</f>
        <v>43</v>
      </c>
      <c r="AK292" s="303">
        <f t="shared" ref="AK292" si="466">AL292-1</f>
        <v>44</v>
      </c>
      <c r="AL292" s="303">
        <f t="shared" ref="AL292" si="467">AM292-1</f>
        <v>45</v>
      </c>
      <c r="AM292" s="303">
        <f t="shared" ref="AM292" si="468">AN292-1</f>
        <v>46</v>
      </c>
      <c r="AN292" s="303">
        <f t="shared" ref="AN292" si="469">AO292-1</f>
        <v>47</v>
      </c>
      <c r="AO292" s="303">
        <f t="shared" ref="AO292" si="470">AP292-1</f>
        <v>48</v>
      </c>
      <c r="AP292" s="303">
        <f t="shared" ref="AP292" si="471">AQ292-1</f>
        <v>49</v>
      </c>
      <c r="AQ292" s="303">
        <f t="shared" ref="AQ292" si="472">AR292-1</f>
        <v>50</v>
      </c>
      <c r="AR292" s="303">
        <f t="shared" ref="AR292" si="473">AS292-1</f>
        <v>51</v>
      </c>
      <c r="AS292" s="303">
        <f t="shared" ref="AS292" si="474">AT292-1</f>
        <v>52</v>
      </c>
      <c r="AT292" s="303">
        <f t="shared" ref="AT292" si="475">AU292-1</f>
        <v>53</v>
      </c>
      <c r="AU292" s="303">
        <f>VLOOKUP(AU293,Dates!$A:$D,2,FALSE)</f>
        <v>54</v>
      </c>
    </row>
    <row r="293" spans="1:47">
      <c r="A293" s="49"/>
      <c r="B293" s="49"/>
      <c r="C293" s="49"/>
      <c r="D293" s="49"/>
      <c r="E293" s="49"/>
      <c r="F293" s="49"/>
      <c r="G293" s="49"/>
      <c r="H293" s="49"/>
      <c r="I293" s="49"/>
      <c r="J293" s="49"/>
      <c r="K293" s="49"/>
      <c r="L293" s="49"/>
      <c r="M293" s="49"/>
      <c r="N293" s="49"/>
      <c r="O293" s="49"/>
      <c r="P293" s="49"/>
      <c r="Q293" s="49"/>
      <c r="R293" s="49"/>
      <c r="S293" s="49"/>
      <c r="T293" s="49"/>
      <c r="U293" s="49"/>
      <c r="V293" s="49"/>
      <c r="W293" s="49"/>
      <c r="AB293" s="303" t="str">
        <f>IFERROR(VLOOKUP(AB292,Dates!$B:$D,3,FALSE),"")</f>
        <v>3Q20</v>
      </c>
      <c r="AC293" s="303" t="str">
        <f>IFERROR(VLOOKUP(AC292,Dates!$B:$D,3,FALSE),"")</f>
        <v>4Q20</v>
      </c>
      <c r="AD293" s="303" t="str">
        <f>IFERROR(VLOOKUP(AD292,Dates!$B:$D,3,FALSE),"")</f>
        <v>1Q21</v>
      </c>
      <c r="AE293" s="303" t="str">
        <f>IFERROR(VLOOKUP(AE292,Dates!$B:$D,3,FALSE),"")</f>
        <v>2Q21</v>
      </c>
      <c r="AF293" s="303" t="str">
        <f>IFERROR(VLOOKUP(AF292,Dates!$B:$D,3,FALSE),"")</f>
        <v>3Q21</v>
      </c>
      <c r="AG293" s="303" t="str">
        <f>IFERROR(VLOOKUP(AG292,Dates!$B:$D,3,FALSE),"")</f>
        <v>4Q21</v>
      </c>
      <c r="AH293" s="303" t="str">
        <f>IFERROR(VLOOKUP(AH292,Dates!$B:$D,3,FALSE),"")</f>
        <v>1Q22</v>
      </c>
      <c r="AI293" s="303" t="str">
        <f>IFERROR(VLOOKUP(AI292,Dates!$B:$D,3,FALSE),"")</f>
        <v>2Q22</v>
      </c>
      <c r="AJ293" s="303" t="str">
        <f>IFERROR(VLOOKUP(AJ292,Dates!$B:$D,3,FALSE),"")</f>
        <v>3Q22</v>
      </c>
      <c r="AK293" s="303" t="str">
        <f>IFERROR(VLOOKUP(AK292,Dates!$B:$D,3,FALSE),"")</f>
        <v>4Q22</v>
      </c>
      <c r="AL293" s="303" t="str">
        <f>IFERROR(VLOOKUP(AL292,Dates!$B:$D,3,FALSE),"")</f>
        <v>1Q23</v>
      </c>
      <c r="AM293" s="303" t="str">
        <f>IFERROR(VLOOKUP(AM292,Dates!$B:$D,3,FALSE),"")</f>
        <v>2Q23</v>
      </c>
      <c r="AN293" s="303" t="str">
        <f>IFERROR(VLOOKUP(AN292,Dates!$B:$D,3,FALSE),"")</f>
        <v>3Q23</v>
      </c>
      <c r="AO293" s="303" t="str">
        <f>IFERROR(VLOOKUP(AO292,Dates!$B:$D,3,FALSE),"")</f>
        <v>4Q23</v>
      </c>
      <c r="AP293" s="303" t="str">
        <f>IFERROR(VLOOKUP(AP292,Dates!$B:$D,3,FALSE),"")</f>
        <v>1Q24</v>
      </c>
      <c r="AQ293" s="303" t="str">
        <f>IFERROR(VLOOKUP(AQ292,Dates!$B:$D,3,FALSE),"")</f>
        <v>2Q24</v>
      </c>
      <c r="AR293" s="303" t="str">
        <f>IFERROR(VLOOKUP(AR292,Dates!$B:$D,3,FALSE),"")</f>
        <v>3Q24</v>
      </c>
      <c r="AS293" s="303" t="str">
        <f>IFERROR(VLOOKUP(AS292,Dates!$B:$D,3,FALSE),"")</f>
        <v>4Q24</v>
      </c>
      <c r="AT293" s="303" t="str">
        <f>IFERROR(VLOOKUP(AT292,Dates!$B:$D,3,FALSE),"")</f>
        <v>1Q25</v>
      </c>
      <c r="AU293" s="315" t="str">
        <f>$G$3</f>
        <v>2Q25</v>
      </c>
    </row>
    <row r="294" spans="1:47">
      <c r="A294" s="49"/>
      <c r="B294" s="49"/>
      <c r="C294" s="49"/>
      <c r="D294" s="49"/>
      <c r="E294" s="49"/>
      <c r="F294" s="49"/>
      <c r="G294" s="49"/>
      <c r="H294" s="49"/>
      <c r="I294" s="49"/>
      <c r="J294" s="49"/>
      <c r="K294" s="49"/>
      <c r="L294" s="49"/>
      <c r="M294" s="49"/>
      <c r="N294" s="49"/>
      <c r="O294" s="49"/>
      <c r="P294" s="49"/>
      <c r="Q294" s="49"/>
      <c r="R294" s="49"/>
      <c r="S294" s="49"/>
      <c r="T294" s="49"/>
      <c r="U294" s="49"/>
      <c r="V294" s="49"/>
      <c r="W294" s="49"/>
      <c r="AA294" s="316" t="str">
        <f>'Other India financials'!A66</f>
        <v>Homes Services EBITDA Growth YoY</v>
      </c>
      <c r="AB294" s="318">
        <f>IFERROR(INDEX('Other India financials'!$A:$ABB,MATCH($AA294,'Other India financials'!$A:$A,0),MATCH(AB293,'Other India financials'!$1:$1,0)),"")</f>
        <v>0.27844468881107787</v>
      </c>
      <c r="AC294" s="318">
        <f>IFERROR(INDEX('Other India financials'!$A:$ABB,MATCH($AA294,'Other India financials'!$A:$A,0),MATCH(AC293,'Other India financials'!$1:$1,0)),"")</f>
        <v>0.22913058648832441</v>
      </c>
      <c r="AD294" s="318">
        <f>IFERROR(INDEX('Other India financials'!$A:$ABB,MATCH($AA294,'Other India financials'!$A:$A,0),MATCH(AD293,'Other India financials'!$1:$1,0)),"")</f>
        <v>0.39216125423003034</v>
      </c>
      <c r="AE294" s="318">
        <f>IFERROR(INDEX('Other India financials'!$A:$ABB,MATCH($AA294,'Other India financials'!$A:$A,0),MATCH(AE293,'Other India financials'!$1:$1,0)),"")</f>
        <v>0.38586339093484368</v>
      </c>
      <c r="AF294" s="318">
        <f>IFERROR(INDEX('Other India financials'!$A:$ABB,MATCH($AA294,'Other India financials'!$A:$A,0),MATCH(AF293,'Other India financials'!$1:$1,0)),"")</f>
        <v>-4.5842292409545737E-2</v>
      </c>
      <c r="AG294" s="318">
        <f>IFERROR(INDEX('Other India financials'!$A:$ABB,MATCH($AA294,'Other India financials'!$A:$A,0),MATCH(AG293,'Other India financials'!$1:$1,0)),"")</f>
        <v>0.11048669943607425</v>
      </c>
      <c r="AH294" s="318">
        <f>IFERROR(INDEX('Other India financials'!$A:$ABB,MATCH($AA294,'Other India financials'!$A:$A,0),MATCH(AH293,'Other India financials'!$1:$1,0)),"")</f>
        <v>-8.0902923140431571E-2</v>
      </c>
      <c r="AI294" s="318">
        <f>IFERROR(INDEX('Other India financials'!$A:$ABB,MATCH($AA294,'Other India financials'!$A:$A,0),MATCH(AI293,'Other India financials'!$1:$1,0)),"")</f>
        <v>0.10352893224605975</v>
      </c>
      <c r="AJ294" s="318">
        <f>IFERROR(INDEX('Other India financials'!$A:$ABB,MATCH($AA294,'Other India financials'!$A:$A,0),MATCH(AJ293,'Other India financials'!$1:$1,0)),"")</f>
        <v>0.38292114648322229</v>
      </c>
      <c r="AK294" s="318">
        <f>IFERROR(INDEX('Other India financials'!$A:$ABB,MATCH($AA294,'Other India financials'!$A:$A,0),MATCH(AK293,'Other India financials'!$1:$1,0)),"")</f>
        <v>0.42726171531102719</v>
      </c>
      <c r="AL294" s="318">
        <f>IFERROR(INDEX('Other India financials'!$A:$ABB,MATCH($AA294,'Other India financials'!$A:$A,0),MATCH(AL293,'Other India financials'!$1:$1,0)),"")</f>
        <v>0.52564171554333439</v>
      </c>
      <c r="AM294" s="318">
        <f>IFERROR(INDEX('Other India financials'!$A:$ABB,MATCH($AA294,'Other India financials'!$A:$A,0),MATCH(AM293,'Other India financials'!$1:$1,0)),"")</f>
        <v>0.31865009949722234</v>
      </c>
      <c r="AN294" s="318">
        <f>IFERROR(INDEX('Other India financials'!$A:$ABB,MATCH($AA294,'Other India financials'!$A:$A,0),MATCH(AN293,'Other India financials'!$1:$1,0)),"")</f>
        <v>0.18711976841944966</v>
      </c>
      <c r="AO294" s="318">
        <f>IFERROR(INDEX('Other India financials'!$A:$ABB,MATCH($AA294,'Other India financials'!$A:$A,0),MATCH(AO293,'Other India financials'!$1:$1,0)),"")</f>
        <v>0.15766391890104559</v>
      </c>
      <c r="AP294" s="318">
        <f>IFERROR(INDEX('Other India financials'!$A:$ABB,MATCH($AA294,'Other India financials'!$A:$A,0),MATCH(AP293,'Other India financials'!$1:$1,0)),"")</f>
        <v>0.18943124264062972</v>
      </c>
      <c r="AQ294" s="318">
        <f>IFERROR(INDEX('Other India financials'!$A:$ABB,MATCH($AA294,'Other India financials'!$A:$A,0),MATCH(AQ293,'Other India financials'!$1:$1,0)),"")</f>
        <v>0.21878634581407863</v>
      </c>
      <c r="AR294" s="318">
        <f>IFERROR(INDEX('Other India financials'!$A:$ABB,MATCH($AA294,'Other India financials'!$A:$A,0),MATCH(AR293,'Other India financials'!$1:$1,0)),"")</f>
        <v>0.23403975450558989</v>
      </c>
      <c r="AS294" s="318">
        <f>IFERROR(INDEX('Other India financials'!$A:$ABB,MATCH($AA294,'Other India financials'!$A:$A,0),MATCH(AS293,'Other India financials'!$1:$1,0)),"")</f>
        <v>0.18807362115786819</v>
      </c>
      <c r="AT294" s="318">
        <f>IFERROR(INDEX('Other India financials'!$A:$ABB,MATCH($AA294,'Other India financials'!$A:$A,0),MATCH(AT293,'Other India financials'!$1:$1,0)),"")</f>
        <v>0.17175702604112142</v>
      </c>
      <c r="AU294" s="318">
        <f>IFERROR(INDEX('Other India financials'!$A:$ABB,MATCH($AA294,'Other India financials'!$A:$A,0),MATCH(AU293,'Other India financials'!$1:$1,0)),"")</f>
        <v>0.18598547684961542</v>
      </c>
    </row>
    <row r="295" spans="1:47">
      <c r="A295" s="49"/>
      <c r="B295" s="49"/>
      <c r="C295" s="49"/>
      <c r="D295" s="49"/>
      <c r="E295" s="49"/>
      <c r="F295" s="49"/>
      <c r="G295" s="49"/>
      <c r="H295" s="49"/>
      <c r="I295" s="49"/>
      <c r="J295" s="49"/>
      <c r="K295" s="49"/>
      <c r="L295" s="49"/>
      <c r="M295" s="49"/>
      <c r="N295" s="49"/>
      <c r="O295" s="49"/>
      <c r="P295" s="49"/>
      <c r="Q295" s="49"/>
      <c r="R295" s="49"/>
      <c r="S295" s="49"/>
      <c r="T295" s="49"/>
      <c r="U295" s="49"/>
      <c r="V295" s="49"/>
      <c r="W295" s="49"/>
      <c r="AA295" s="316" t="str">
        <f>'Other India financials'!A80</f>
        <v>DTV EBITDA Growth YoY</v>
      </c>
      <c r="AB295" s="318">
        <f>IFERROR(INDEX('Other India financials'!$A:$ABB,MATCH($AA295,'Other India financials'!$A:$A,0),MATCH(AB293,'Other India financials'!$1:$1,0)),"")</f>
        <v>0.4220887810832834</v>
      </c>
      <c r="AC295" s="318">
        <f>IFERROR(INDEX('Other India financials'!$A:$ABB,MATCH($AA295,'Other India financials'!$A:$A,0),MATCH(AC293,'Other India financials'!$1:$1,0)),"")</f>
        <v>-7.0740344229334395E-2</v>
      </c>
      <c r="AD295" s="318">
        <f>IFERROR(INDEX('Other India financials'!$A:$ABB,MATCH($AA295,'Other India financials'!$A:$A,0),MATCH(AD293,'Other India financials'!$1:$1,0)),"")</f>
        <v>-4.2171114616053162E-2</v>
      </c>
      <c r="AE295" s="318">
        <f>IFERROR(INDEX('Other India financials'!$A:$ABB,MATCH($AA295,'Other India financials'!$A:$A,0),MATCH(AE293,'Other India financials'!$1:$1,0)),"")</f>
        <v>-4.5670804886748795E-2</v>
      </c>
      <c r="AF295" s="318">
        <f>IFERROR(INDEX('Other India financials'!$A:$ABB,MATCH($AA295,'Other India financials'!$A:$A,0),MATCH(AF293,'Other India financials'!$1:$1,0)),"")</f>
        <v>-2.7424366990836946E-2</v>
      </c>
      <c r="AG295" s="318">
        <f>IFERROR(INDEX('Other India financials'!$A:$ABB,MATCH($AA295,'Other India financials'!$A:$A,0),MATCH(AG293,'Other India financials'!$1:$1,0)),"")</f>
        <v>0.3993524525661285</v>
      </c>
      <c r="AH295" s="318">
        <f>IFERROR(INDEX('Other India financials'!$A:$ABB,MATCH($AA295,'Other India financials'!$A:$A,0),MATCH(AH293,'Other India financials'!$1:$1,0)),"")</f>
        <v>7.5304609945202827E-2</v>
      </c>
      <c r="AI295" s="318">
        <f>IFERROR(INDEX('Other India financials'!$A:$ABB,MATCH($AA295,'Other India financials'!$A:$A,0),MATCH(AI293,'Other India financials'!$1:$1,0)),"")</f>
        <v>-6.9004527817609906E-3</v>
      </c>
      <c r="AJ295" s="318">
        <f>IFERROR(INDEX('Other India financials'!$A:$ABB,MATCH($AA295,'Other India financials'!$A:$A,0),MATCH(AJ293,'Other India financials'!$1:$1,0)),"")</f>
        <v>5.1761121576257008E-3</v>
      </c>
      <c r="AK295" s="318">
        <f>IFERROR(INDEX('Other India financials'!$A:$ABB,MATCH($AA295,'Other India financials'!$A:$A,0),MATCH(AK293,'Other India financials'!$1:$1,0)),"")</f>
        <v>-2.9980039168560513E-2</v>
      </c>
      <c r="AL295" s="318">
        <f>IFERROR(INDEX('Other India financials'!$A:$ABB,MATCH($AA295,'Other India financials'!$A:$A,0),MATCH(AL293,'Other India financials'!$1:$1,0)),"")</f>
        <v>-0.11834279703916339</v>
      </c>
      <c r="AM295" s="318">
        <f>IFERROR(INDEX('Other India financials'!$A:$ABB,MATCH($AA295,'Other India financials'!$A:$A,0),MATCH(AM293,'Other India financials'!$1:$1,0)),"")</f>
        <v>-0.18111788332706025</v>
      </c>
      <c r="AN295" s="318">
        <f>IFERROR(INDEX('Other India financials'!$A:$ABB,MATCH($AA295,'Other India financials'!$A:$A,0),MATCH(AN293,'Other India financials'!$1:$1,0)),"")</f>
        <v>-0.22311645465974139</v>
      </c>
      <c r="AO295" s="318">
        <f>IFERROR(INDEX('Other India financials'!$A:$ABB,MATCH($AA295,'Other India financials'!$A:$A,0),MATCH(AO293,'Other India financials'!$1:$1,0)),"")</f>
        <v>-0.17581758780110057</v>
      </c>
      <c r="AP295" s="318">
        <f>IFERROR(INDEX('Other India financials'!$A:$ABB,MATCH($AA295,'Other India financials'!$A:$A,0),MATCH(AP293,'Other India financials'!$1:$1,0)),"")</f>
        <v>-0.10785276227574625</v>
      </c>
      <c r="AQ295" s="318">
        <f>IFERROR(INDEX('Other India financials'!$A:$ABB,MATCH($AA295,'Other India financials'!$A:$A,0),MATCH(AQ293,'Other India financials'!$1:$1,0)),"")</f>
        <v>-3.2033216479304572E-2</v>
      </c>
      <c r="AR295" s="318">
        <f>IFERROR(INDEX('Other India financials'!$A:$ABB,MATCH($AA295,'Other India financials'!$A:$A,0),MATCH(AR293,'Other India financials'!$1:$1,0)),"")</f>
        <v>3.7005527073481925E-2</v>
      </c>
      <c r="AS295" s="318">
        <f>IFERROR(INDEX('Other India financials'!$A:$ABB,MATCH($AA295,'Other India financials'!$A:$A,0),MATCH(AS293,'Other India financials'!$1:$1,0)),"")</f>
        <v>7.5900251382233552E-2</v>
      </c>
      <c r="AT295" s="318">
        <f>IFERROR(INDEX('Other India financials'!$A:$ABB,MATCH($AA295,'Other India financials'!$A:$A,0),MATCH(AT293,'Other India financials'!$1:$1,0)),"")</f>
        <v>3.2411015139008681E-2</v>
      </c>
      <c r="AU295" s="318">
        <f>IFERROR(INDEX('Other India financials'!$A:$ABB,MATCH($AA295,'Other India financials'!$A:$A,0),MATCH(AU293,'Other India financials'!$1:$1,0)),"")</f>
        <v>7.3250648874332303E-3</v>
      </c>
    </row>
    <row r="296" spans="1:47">
      <c r="A296" s="49"/>
      <c r="B296" s="49"/>
      <c r="C296" s="49"/>
      <c r="D296" s="49"/>
      <c r="E296" s="49"/>
      <c r="F296" s="49"/>
      <c r="G296" s="49"/>
      <c r="H296" s="49"/>
      <c r="I296" s="49"/>
      <c r="J296" s="49"/>
      <c r="K296" s="49"/>
      <c r="L296" s="49"/>
      <c r="M296" s="49"/>
      <c r="N296" s="49"/>
      <c r="O296" s="49"/>
      <c r="P296" s="49"/>
      <c r="Q296" s="49"/>
      <c r="R296" s="49"/>
      <c r="S296" s="49"/>
      <c r="T296" s="49"/>
      <c r="U296" s="49"/>
      <c r="V296" s="49"/>
      <c r="W296" s="49"/>
      <c r="AA296" s="316" t="str">
        <f>'Other India financials'!A93</f>
        <v>Airtel Business EBITDA Growth YoY</v>
      </c>
      <c r="AB296" s="318">
        <f>IFERROR(INDEX('Other India financials'!$A:$ABB,MATCH($AA296,'Other India financials'!$A:$A,0),MATCH(AB293,'Other India financials'!$1:$1,0)),"")</f>
        <v>0.22794148768728917</v>
      </c>
      <c r="AC296" s="318">
        <f>IFERROR(INDEX('Other India financials'!$A:$ABB,MATCH($AA296,'Other India financials'!$A:$A,0),MATCH(AC293,'Other India financials'!$1:$1,0)),"")</f>
        <v>0.4046934610092876</v>
      </c>
      <c r="AD296" s="318">
        <f>IFERROR(INDEX('Other India financials'!$A:$ABB,MATCH($AA296,'Other India financials'!$A:$A,0),MATCH(AD293,'Other India financials'!$1:$1,0)),"")</f>
        <v>0.66043806079627676</v>
      </c>
      <c r="AE296" s="318">
        <f>IFERROR(INDEX('Other India financials'!$A:$ABB,MATCH($AA296,'Other India financials'!$A:$A,0),MATCH(AE293,'Other India financials'!$1:$1,0)),"")</f>
        <v>0.42828992668107979</v>
      </c>
      <c r="AF296" s="318">
        <f>IFERROR(INDEX('Other India financials'!$A:$ABB,MATCH($AA296,'Other India financials'!$A:$A,0),MATCH(AF293,'Other India financials'!$1:$1,0)),"")</f>
        <v>0.15609343364886952</v>
      </c>
      <c r="AG296" s="318">
        <f>IFERROR(INDEX('Other India financials'!$A:$ABB,MATCH($AA296,'Other India financials'!$A:$A,0),MATCH(AG293,'Other India financials'!$1:$1,0)),"")</f>
        <v>0.10400206811619395</v>
      </c>
      <c r="AH296" s="318">
        <f>IFERROR(INDEX('Other India financials'!$A:$ABB,MATCH($AA296,'Other India financials'!$A:$A,0),MATCH(AH293,'Other India financials'!$1:$1,0)),"")</f>
        <v>0.15530022310262281</v>
      </c>
      <c r="AI296" s="318">
        <f>IFERROR(INDEX('Other India financials'!$A:$ABB,MATCH($AA296,'Other India financials'!$A:$A,0),MATCH(AI293,'Other India financials'!$1:$1,0)),"")</f>
        <v>0.1902195866613936</v>
      </c>
      <c r="AJ296" s="318">
        <f>IFERROR(INDEX('Other India financials'!$A:$ABB,MATCH($AA296,'Other India financials'!$A:$A,0),MATCH(AJ293,'Other India financials'!$1:$1,0)),"")</f>
        <v>0.12882223463388387</v>
      </c>
      <c r="AK296" s="318">
        <f>IFERROR(INDEX('Other India financials'!$A:$ABB,MATCH($AA296,'Other India financials'!$A:$A,0),MATCH(AK293,'Other India financials'!$1:$1,0)),"")</f>
        <v>0.10654095474211922</v>
      </c>
      <c r="AL296" s="318">
        <f>IFERROR(INDEX('Other India financials'!$A:$ABB,MATCH($AA296,'Other India financials'!$A:$A,0),MATCH(AL293,'Other India financials'!$1:$1,0)),"")</f>
        <v>0.15841755124178136</v>
      </c>
      <c r="AM296" s="318">
        <f>IFERROR(INDEX('Other India financials'!$A:$ABB,MATCH($AA296,'Other India financials'!$A:$A,0),MATCH(AM293,'Other India financials'!$1:$1,0)),"")</f>
        <v>0.14893942362435619</v>
      </c>
      <c r="AN296" s="318">
        <f>IFERROR(INDEX('Other India financials'!$A:$ABB,MATCH($AA296,'Other India financials'!$A:$A,0),MATCH(AN293,'Other India financials'!$1:$1,0)),"")</f>
        <v>0.20386527493890272</v>
      </c>
      <c r="AO296" s="318">
        <f>IFERROR(INDEX('Other India financials'!$A:$ABB,MATCH($AA296,'Other India financials'!$A:$A,0),MATCH(AO293,'Other India financials'!$1:$1,0)),"")</f>
        <v>0.20070008444563459</v>
      </c>
      <c r="AP296" s="318">
        <f>IFERROR(INDEX('Other India financials'!$A:$ABB,MATCH($AA296,'Other India financials'!$A:$A,0),MATCH(AP293,'Other India financials'!$1:$1,0)),"")</f>
        <v>0.17906307771137353</v>
      </c>
      <c r="AQ296" s="318">
        <f>IFERROR(INDEX('Other India financials'!$A:$ABB,MATCH($AA296,'Other India financials'!$A:$A,0),MATCH(AQ293,'Other India financials'!$1:$1,0)),"")</f>
        <v>0.12486841290413175</v>
      </c>
      <c r="AR296" s="318">
        <f>IFERROR(INDEX('Other India financials'!$A:$ABB,MATCH($AA296,'Other India financials'!$A:$A,0),MATCH(AR293,'Other India financials'!$1:$1,0)),"")</f>
        <v>8.2705986817828814E-2</v>
      </c>
      <c r="AS296" s="318">
        <f>IFERROR(INDEX('Other India financials'!$A:$ABB,MATCH($AA296,'Other India financials'!$A:$A,0),MATCH(AS293,'Other India financials'!$1:$1,0)),"")</f>
        <v>5.8438870408553889E-2</v>
      </c>
      <c r="AT296" s="318">
        <f>IFERROR(INDEX('Other India financials'!$A:$ABB,MATCH($AA296,'Other India financials'!$A:$A,0),MATCH(AT293,'Other India financials'!$1:$1,0)),"")</f>
        <v>-6.2231879764091946E-3</v>
      </c>
      <c r="AU296" s="318">
        <f>IFERROR(INDEX('Other India financials'!$A:$ABB,MATCH($AA296,'Other India financials'!$A:$A,0),MATCH(AU293,'Other India financials'!$1:$1,0)),"")</f>
        <v>-1.7965239984191417E-2</v>
      </c>
    </row>
    <row r="297" spans="1:47">
      <c r="A297" s="49"/>
      <c r="B297" s="49"/>
      <c r="C297" s="49"/>
      <c r="D297" s="49"/>
      <c r="E297" s="49"/>
      <c r="F297" s="49"/>
      <c r="G297" s="49"/>
      <c r="H297" s="49"/>
      <c r="I297" s="49"/>
      <c r="J297" s="49"/>
      <c r="K297" s="49"/>
      <c r="L297" s="49"/>
      <c r="M297" s="49"/>
      <c r="N297" s="49"/>
      <c r="O297" s="49"/>
      <c r="P297" s="49"/>
      <c r="Q297" s="49"/>
      <c r="R297" s="49"/>
      <c r="S297" s="49"/>
      <c r="T297" s="49"/>
      <c r="U297" s="49"/>
      <c r="V297" s="49"/>
      <c r="W297" s="49"/>
    </row>
    <row r="298" spans="1:47">
      <c r="A298" s="49"/>
      <c r="B298" s="49"/>
      <c r="C298" s="49"/>
      <c r="D298" s="49"/>
      <c r="E298" s="49"/>
      <c r="F298" s="49"/>
      <c r="G298" s="49"/>
      <c r="H298" s="49"/>
      <c r="I298" s="49"/>
      <c r="J298" s="49"/>
      <c r="K298" s="49"/>
      <c r="L298" s="49"/>
      <c r="M298" s="49"/>
      <c r="N298" s="49"/>
      <c r="O298" s="49"/>
      <c r="P298" s="49"/>
      <c r="Q298" s="49"/>
      <c r="R298" s="49"/>
      <c r="S298" s="49"/>
      <c r="T298" s="49"/>
      <c r="U298" s="49"/>
      <c r="V298" s="49"/>
      <c r="W298" s="49"/>
    </row>
    <row r="299" spans="1:47">
      <c r="A299" s="49"/>
      <c r="B299" s="49"/>
      <c r="C299" s="49"/>
      <c r="D299" s="49"/>
      <c r="E299" s="49"/>
      <c r="F299" s="49"/>
      <c r="G299" s="49"/>
      <c r="H299" s="49"/>
      <c r="I299" s="49"/>
      <c r="J299" s="49"/>
      <c r="K299" s="49"/>
      <c r="L299" s="49"/>
      <c r="M299" s="49"/>
      <c r="N299" s="49"/>
      <c r="O299" s="49"/>
      <c r="P299" s="49"/>
      <c r="Q299" s="49"/>
      <c r="R299" s="49"/>
      <c r="S299" s="49"/>
      <c r="T299" s="49"/>
      <c r="U299" s="49"/>
      <c r="V299" s="49"/>
      <c r="W299" s="49"/>
    </row>
    <row r="300" spans="1:47">
      <c r="A300" s="49" t="s">
        <v>570</v>
      </c>
      <c r="B300" s="49"/>
      <c r="C300" s="49"/>
      <c r="D300" s="49"/>
      <c r="E300" s="49"/>
      <c r="F300" s="49"/>
      <c r="G300" s="49"/>
      <c r="H300" s="49"/>
      <c r="I300" s="49"/>
      <c r="J300" s="49"/>
      <c r="K300" s="49" t="s">
        <v>568</v>
      </c>
      <c r="L300" s="49"/>
      <c r="M300" s="49"/>
      <c r="N300" s="49"/>
      <c r="O300" s="49"/>
      <c r="P300" s="49"/>
      <c r="Q300" s="49"/>
      <c r="R300" s="49"/>
      <c r="S300" s="49"/>
      <c r="T300" s="49"/>
      <c r="U300" s="49"/>
      <c r="V300" s="49"/>
      <c r="W300" s="49"/>
    </row>
    <row r="301" spans="1:47">
      <c r="A301" s="49" t="s">
        <v>571</v>
      </c>
      <c r="B301" s="49"/>
      <c r="C301" s="49"/>
      <c r="D301" s="49"/>
      <c r="E301" s="49"/>
      <c r="F301" s="49"/>
      <c r="G301" s="49"/>
      <c r="H301" s="49"/>
      <c r="I301" s="49"/>
      <c r="J301" s="49"/>
      <c r="K301" s="49" t="s">
        <v>569</v>
      </c>
      <c r="L301" s="49"/>
      <c r="M301" s="49"/>
      <c r="N301" s="49"/>
      <c r="O301" s="49"/>
      <c r="P301" s="49"/>
      <c r="Q301" s="49"/>
      <c r="R301" s="49"/>
      <c r="S301" s="49"/>
      <c r="T301" s="49"/>
      <c r="U301" s="49"/>
      <c r="V301" s="49"/>
      <c r="W301" s="49"/>
    </row>
    <row r="302" spans="1:47">
      <c r="A302" s="49"/>
      <c r="B302" s="49"/>
      <c r="C302" s="49"/>
      <c r="D302" s="49"/>
      <c r="E302" s="49"/>
      <c r="F302" s="49"/>
      <c r="G302" s="49"/>
      <c r="H302" s="49"/>
      <c r="I302" s="49"/>
      <c r="J302" s="49"/>
      <c r="K302" s="49"/>
      <c r="L302" s="49"/>
      <c r="M302" s="49"/>
      <c r="N302" s="49"/>
      <c r="O302" s="49"/>
      <c r="P302" s="49"/>
      <c r="Q302" s="49"/>
      <c r="R302" s="49"/>
      <c r="S302" s="49"/>
      <c r="T302" s="49"/>
      <c r="U302" s="49"/>
      <c r="V302" s="49"/>
      <c r="W302" s="49"/>
    </row>
    <row r="303" spans="1:47">
      <c r="A303" s="1" t="s">
        <v>447</v>
      </c>
      <c r="B303" s="52" t="s">
        <v>554</v>
      </c>
      <c r="C303" s="1"/>
      <c r="D303" s="1"/>
      <c r="E303" s="1"/>
      <c r="F303" s="1"/>
      <c r="G303" s="1"/>
      <c r="H303" s="1"/>
      <c r="I303" s="1"/>
      <c r="J303" s="1"/>
      <c r="K303" s="1" t="s">
        <v>448</v>
      </c>
      <c r="L303" s="52" t="s">
        <v>533</v>
      </c>
      <c r="M303" s="1"/>
      <c r="N303" s="1"/>
      <c r="O303" s="1"/>
      <c r="P303" s="1"/>
      <c r="Q303" s="1"/>
      <c r="R303" s="1"/>
      <c r="S303" s="1"/>
      <c r="T303" s="1"/>
      <c r="U303" s="49"/>
      <c r="V303" s="49"/>
      <c r="W303" s="49"/>
    </row>
    <row r="304" spans="1:47">
      <c r="A304" s="49"/>
      <c r="B304" s="49"/>
      <c r="C304" s="49"/>
      <c r="D304" s="49"/>
      <c r="E304" s="49"/>
      <c r="F304" s="49"/>
      <c r="G304" s="49"/>
      <c r="H304" s="49"/>
      <c r="I304" s="49"/>
      <c r="J304" s="49"/>
      <c r="K304" s="49"/>
      <c r="L304" s="49"/>
      <c r="M304" s="49"/>
      <c r="N304" s="49"/>
      <c r="O304" s="49"/>
      <c r="P304" s="49"/>
      <c r="Q304" s="49"/>
      <c r="R304" s="49"/>
      <c r="S304" s="49"/>
      <c r="T304" s="49"/>
      <c r="U304" s="49"/>
      <c r="V304" s="49"/>
      <c r="W304" s="49"/>
      <c r="AB304" s="303">
        <f t="shared" ref="AB304" si="476">AC304-1</f>
        <v>35</v>
      </c>
      <c r="AC304" s="303">
        <f t="shared" ref="AC304" si="477">AD304-1</f>
        <v>36</v>
      </c>
      <c r="AD304" s="303">
        <f t="shared" ref="AD304" si="478">AE304-1</f>
        <v>37</v>
      </c>
      <c r="AE304" s="303">
        <f t="shared" ref="AE304" si="479">AF304-1</f>
        <v>38</v>
      </c>
      <c r="AF304" s="303">
        <f t="shared" ref="AF304" si="480">AG304-1</f>
        <v>39</v>
      </c>
      <c r="AG304" s="303">
        <f t="shared" ref="AG304" si="481">AH304-1</f>
        <v>40</v>
      </c>
      <c r="AH304" s="303">
        <f t="shared" ref="AH304" si="482">AI304-1</f>
        <v>41</v>
      </c>
      <c r="AI304" s="303">
        <f t="shared" ref="AI304" si="483">AJ304-1</f>
        <v>42</v>
      </c>
      <c r="AJ304" s="303">
        <f t="shared" ref="AJ304" si="484">AK304-1</f>
        <v>43</v>
      </c>
      <c r="AK304" s="303">
        <f t="shared" ref="AK304" si="485">AL304-1</f>
        <v>44</v>
      </c>
      <c r="AL304" s="303">
        <f t="shared" ref="AL304" si="486">AM304-1</f>
        <v>45</v>
      </c>
      <c r="AM304" s="303">
        <f t="shared" ref="AM304" si="487">AN304-1</f>
        <v>46</v>
      </c>
      <c r="AN304" s="303">
        <f t="shared" ref="AN304" si="488">AO304-1</f>
        <v>47</v>
      </c>
      <c r="AO304" s="303">
        <f t="shared" ref="AO304" si="489">AP304-1</f>
        <v>48</v>
      </c>
      <c r="AP304" s="303">
        <f t="shared" ref="AP304" si="490">AQ304-1</f>
        <v>49</v>
      </c>
      <c r="AQ304" s="303">
        <f t="shared" ref="AQ304" si="491">AR304-1</f>
        <v>50</v>
      </c>
      <c r="AR304" s="303">
        <f t="shared" ref="AR304" si="492">AS304-1</f>
        <v>51</v>
      </c>
      <c r="AS304" s="303">
        <f t="shared" ref="AS304" si="493">AT304-1</f>
        <v>52</v>
      </c>
      <c r="AT304" s="303">
        <f t="shared" ref="AT304" si="494">AU304-1</f>
        <v>53</v>
      </c>
      <c r="AU304" s="303">
        <f>VLOOKUP(AU305,Dates!$A:$D,2,FALSE)</f>
        <v>54</v>
      </c>
    </row>
    <row r="305" spans="1:47">
      <c r="A305" s="49"/>
      <c r="B305" s="49"/>
      <c r="C305" s="49"/>
      <c r="D305" s="49"/>
      <c r="E305" s="49"/>
      <c r="F305" s="49"/>
      <c r="G305" s="49"/>
      <c r="H305" s="49"/>
      <c r="I305" s="49"/>
      <c r="J305" s="49"/>
      <c r="K305" s="49"/>
      <c r="L305" s="49"/>
      <c r="M305" s="49"/>
      <c r="N305" s="49"/>
      <c r="O305" s="49"/>
      <c r="P305" s="49"/>
      <c r="Q305" s="49"/>
      <c r="R305" s="49"/>
      <c r="S305" s="49"/>
      <c r="T305" s="49"/>
      <c r="U305" s="49"/>
      <c r="V305" s="49"/>
      <c r="W305" s="49"/>
      <c r="AB305" s="303" t="str">
        <f>IFERROR(VLOOKUP(AB304,Dates!$B:$D,3,FALSE),"")</f>
        <v>3Q20</v>
      </c>
      <c r="AC305" s="303" t="str">
        <f>IFERROR(VLOOKUP(AC304,Dates!$B:$D,3,FALSE),"")</f>
        <v>4Q20</v>
      </c>
      <c r="AD305" s="303" t="str">
        <f>IFERROR(VLOOKUP(AD304,Dates!$B:$D,3,FALSE),"")</f>
        <v>1Q21</v>
      </c>
      <c r="AE305" s="303" t="str">
        <f>IFERROR(VLOOKUP(AE304,Dates!$B:$D,3,FALSE),"")</f>
        <v>2Q21</v>
      </c>
      <c r="AF305" s="303" t="str">
        <f>IFERROR(VLOOKUP(AF304,Dates!$B:$D,3,FALSE),"")</f>
        <v>3Q21</v>
      </c>
      <c r="AG305" s="303" t="str">
        <f>IFERROR(VLOOKUP(AG304,Dates!$B:$D,3,FALSE),"")</f>
        <v>4Q21</v>
      </c>
      <c r="AH305" s="303" t="str">
        <f>IFERROR(VLOOKUP(AH304,Dates!$B:$D,3,FALSE),"")</f>
        <v>1Q22</v>
      </c>
      <c r="AI305" s="303" t="str">
        <f>IFERROR(VLOOKUP(AI304,Dates!$B:$D,3,FALSE),"")</f>
        <v>2Q22</v>
      </c>
      <c r="AJ305" s="303" t="str">
        <f>IFERROR(VLOOKUP(AJ304,Dates!$B:$D,3,FALSE),"")</f>
        <v>3Q22</v>
      </c>
      <c r="AK305" s="303" t="str">
        <f>IFERROR(VLOOKUP(AK304,Dates!$B:$D,3,FALSE),"")</f>
        <v>4Q22</v>
      </c>
      <c r="AL305" s="303" t="str">
        <f>IFERROR(VLOOKUP(AL304,Dates!$B:$D,3,FALSE),"")</f>
        <v>1Q23</v>
      </c>
      <c r="AM305" s="303" t="str">
        <f>IFERROR(VLOOKUP(AM304,Dates!$B:$D,3,FALSE),"")</f>
        <v>2Q23</v>
      </c>
      <c r="AN305" s="303" t="str">
        <f>IFERROR(VLOOKUP(AN304,Dates!$B:$D,3,FALSE),"")</f>
        <v>3Q23</v>
      </c>
      <c r="AO305" s="303" t="str">
        <f>IFERROR(VLOOKUP(AO304,Dates!$B:$D,3,FALSE),"")</f>
        <v>4Q23</v>
      </c>
      <c r="AP305" s="303" t="str">
        <f>IFERROR(VLOOKUP(AP304,Dates!$B:$D,3,FALSE),"")</f>
        <v>1Q24</v>
      </c>
      <c r="AQ305" s="303" t="str">
        <f>IFERROR(VLOOKUP(AQ304,Dates!$B:$D,3,FALSE),"")</f>
        <v>2Q24</v>
      </c>
      <c r="AR305" s="303" t="str">
        <f>IFERROR(VLOOKUP(AR304,Dates!$B:$D,3,FALSE),"")</f>
        <v>3Q24</v>
      </c>
      <c r="AS305" s="303" t="str">
        <f>IFERROR(VLOOKUP(AS304,Dates!$B:$D,3,FALSE),"")</f>
        <v>4Q24</v>
      </c>
      <c r="AT305" s="303" t="str">
        <f>IFERROR(VLOOKUP(AT304,Dates!$B:$D,3,FALSE),"")</f>
        <v>1Q25</v>
      </c>
      <c r="AU305" s="315" t="str">
        <f>$G$3</f>
        <v>2Q25</v>
      </c>
    </row>
    <row r="306" spans="1:47">
      <c r="A306" s="49"/>
      <c r="B306" s="49"/>
      <c r="C306" s="49"/>
      <c r="D306" s="49"/>
      <c r="E306" s="49"/>
      <c r="F306" s="49"/>
      <c r="G306" s="49"/>
      <c r="H306" s="49"/>
      <c r="I306" s="49"/>
      <c r="J306" s="49"/>
      <c r="K306" s="49"/>
      <c r="L306" s="49"/>
      <c r="M306" s="49"/>
      <c r="N306" s="49"/>
      <c r="O306" s="49"/>
      <c r="P306" s="49"/>
      <c r="Q306" s="49"/>
      <c r="R306" s="49"/>
      <c r="S306" s="49"/>
      <c r="T306" s="49"/>
      <c r="U306" s="49"/>
      <c r="V306" s="49"/>
      <c r="W306" s="49"/>
      <c r="AA306" s="316" t="str">
        <f>'Other India financials'!A67</f>
        <v>Homes Services EBITDA Margin</v>
      </c>
      <c r="AB306" s="318">
        <f>IFERROR(INDEX('Other India financials'!$A:$ABB,MATCH($AA306,'Other India financials'!$A:$A,0),MATCH(AB305,'Other India financials'!$1:$1,0)),"")</f>
        <v>0.59540510754594644</v>
      </c>
      <c r="AC306" s="318">
        <f>IFERROR(INDEX('Other India financials'!$A:$ABB,MATCH($AA306,'Other India financials'!$A:$A,0),MATCH(AC305,'Other India financials'!$1:$1,0)),"")</f>
        <v>0.5260686232109405</v>
      </c>
      <c r="AD306" s="318">
        <f>IFERROR(INDEX('Other India financials'!$A:$ABB,MATCH($AA306,'Other India financials'!$A:$A,0),MATCH(AD305,'Other India financials'!$1:$1,0)),"")</f>
        <v>0.60732978857640796</v>
      </c>
      <c r="AE306" s="318">
        <f>IFERROR(INDEX('Other India financials'!$A:$ABB,MATCH($AA306,'Other India financials'!$A:$A,0),MATCH(AE305,'Other India financials'!$1:$1,0)),"")</f>
        <v>0.58304481554283172</v>
      </c>
      <c r="AF306" s="318">
        <f>IFERROR(INDEX('Other India financials'!$A:$ABB,MATCH($AA306,'Other India financials'!$A:$A,0),MATCH(AF305,'Other India financials'!$1:$1,0)),"")</f>
        <v>0.55535362572467295</v>
      </c>
      <c r="AG306" s="318">
        <f>IFERROR(INDEX('Other India financials'!$A:$ABB,MATCH($AA306,'Other India financials'!$A:$A,0),MATCH(AG305,'Other India financials'!$1:$1,0)),"")</f>
        <v>0.55658431563902822</v>
      </c>
      <c r="AH306" s="318">
        <f>IFERROR(INDEX('Other India financials'!$A:$ABB,MATCH($AA306,'Other India financials'!$A:$A,0),MATCH(AH305,'Other India financials'!$1:$1,0)),"")</f>
        <v>0.4943683730849609</v>
      </c>
      <c r="AI306" s="318">
        <f>IFERROR(INDEX('Other India financials'!$A:$ABB,MATCH($AA306,'Other India financials'!$A:$A,0),MATCH(AI305,'Other India financials'!$1:$1,0)),"")</f>
        <v>0.5302371264206539</v>
      </c>
      <c r="AJ306" s="318">
        <f>IFERROR(INDEX('Other India financials'!$A:$ABB,MATCH($AA306,'Other India financials'!$A:$A,0),MATCH(AJ305,'Other India financials'!$1:$1,0)),"")</f>
        <v>0.54682683633153961</v>
      </c>
      <c r="AK306" s="318">
        <f>IFERROR(INDEX('Other India financials'!$A:$ABB,MATCH($AA306,'Other India financials'!$A:$A,0),MATCH(AK305,'Other India financials'!$1:$1,0)),"")</f>
        <v>0.5448000010117261</v>
      </c>
      <c r="AL306" s="318">
        <f>IFERROR(INDEX('Other India financials'!$A:$ABB,MATCH($AA306,'Other India financials'!$A:$A,0),MATCH(AL305,'Other India financials'!$1:$1,0)),"")</f>
        <v>0.53181917682628876</v>
      </c>
      <c r="AM306" s="318">
        <f>IFERROR(INDEX('Other India financials'!$A:$ABB,MATCH($AA306,'Other India financials'!$A:$A,0),MATCH(AM305,'Other India financials'!$1:$1,0)),"")</f>
        <v>0.50343207081071129</v>
      </c>
      <c r="AN306" s="318">
        <f>IFERROR(INDEX('Other India financials'!$A:$ABB,MATCH($AA306,'Other India financials'!$A:$A,0),MATCH(AN305,'Other India financials'!$1:$1,0)),"")</f>
        <v>0.50012802162582259</v>
      </c>
      <c r="AO306" s="318">
        <f>IFERROR(INDEX('Other India financials'!$A:$ABB,MATCH($AA306,'Other India financials'!$A:$A,0),MATCH(AO305,'Other India financials'!$1:$1,0)),"")</f>
        <v>0.50394023567047408</v>
      </c>
      <c r="AP306" s="318">
        <f>IFERROR(INDEX('Other India financials'!$A:$ABB,MATCH($AA306,'Other India financials'!$A:$A,0),MATCH(AP305,'Other India financials'!$1:$1,0)),"")</f>
        <v>0.50430004698293673</v>
      </c>
      <c r="AQ306" s="318">
        <f>IFERROR(INDEX('Other India financials'!$A:$ABB,MATCH($AA306,'Other India financials'!$A:$A,0),MATCH(AQ305,'Other India financials'!$1:$1,0)),"")</f>
        <v>0.49751883729832919</v>
      </c>
      <c r="AR306" s="318">
        <f>IFERROR(INDEX('Other India financials'!$A:$ABB,MATCH($AA306,'Other India financials'!$A:$A,0),MATCH(AR305,'Other India financials'!$1:$1,0)),"")</f>
        <v>0.50192675222990613</v>
      </c>
      <c r="AS306" s="318">
        <f>IFERROR(INDEX('Other India financials'!$A:$ABB,MATCH($AA306,'Other India financials'!$A:$A,0),MATCH(AS305,'Other India financials'!$1:$1,0)),"")</f>
        <v>0.49908899237229193</v>
      </c>
      <c r="AT306" s="318">
        <f>IFERROR(INDEX('Other India financials'!$A:$ABB,MATCH($AA306,'Other India financials'!$A:$A,0),MATCH(AT305,'Other India financials'!$1:$1,0)),"")</f>
        <v>0.50234089246525238</v>
      </c>
      <c r="AU306" s="318">
        <f>IFERROR(INDEX('Other India financials'!$A:$ABB,MATCH($AA306,'Other India financials'!$A:$A,0),MATCH(AU305,'Other India financials'!$1:$1,0)),"")</f>
        <v>0.50296766985545704</v>
      </c>
    </row>
    <row r="307" spans="1:47">
      <c r="A307" s="49"/>
      <c r="B307" s="49"/>
      <c r="C307" s="49"/>
      <c r="D307" s="49"/>
      <c r="E307" s="49"/>
      <c r="F307" s="49"/>
      <c r="G307" s="49"/>
      <c r="H307" s="49"/>
      <c r="I307" s="49"/>
      <c r="J307" s="49"/>
      <c r="K307" s="49"/>
      <c r="L307" s="49"/>
      <c r="M307" s="49"/>
      <c r="N307" s="49"/>
      <c r="O307" s="49"/>
      <c r="P307" s="49"/>
      <c r="Q307" s="49"/>
      <c r="R307" s="49"/>
      <c r="S307" s="49"/>
      <c r="T307" s="49"/>
      <c r="U307" s="49"/>
      <c r="V307" s="49"/>
      <c r="W307" s="49"/>
      <c r="AA307" s="316" t="str">
        <f>'Other India financials'!A81</f>
        <v>DTV EBITDA Margin</v>
      </c>
      <c r="AB307" s="318">
        <f>IFERROR(INDEX('Other India financials'!$A:$ABB,MATCH($AA307,'Other India financials'!$A:$A,0),MATCH(AB305,'Other India financials'!$1:$1,0)),"")</f>
        <v>0.68681048059886907</v>
      </c>
      <c r="AC307" s="318">
        <f>IFERROR(INDEX('Other India financials'!$A:$ABB,MATCH($AA307,'Other India financials'!$A:$A,0),MATCH(AC305,'Other India financials'!$1:$1,0)),"")</f>
        <v>0.60452227576637629</v>
      </c>
      <c r="AD307" s="318">
        <f>IFERROR(INDEX('Other India financials'!$A:$ABB,MATCH($AA307,'Other India financials'!$A:$A,0),MATCH(AD305,'Other India financials'!$1:$1,0)),"")</f>
        <v>0.67682182369248756</v>
      </c>
      <c r="AE307" s="318">
        <f>IFERROR(INDEX('Other India financials'!$A:$ABB,MATCH($AA307,'Other India financials'!$A:$A,0),MATCH(AE305,'Other India financials'!$1:$1,0)),"")</f>
        <v>0.7088803141811727</v>
      </c>
      <c r="AF307" s="318">
        <f>IFERROR(INDEX('Other India financials'!$A:$ABB,MATCH($AA307,'Other India financials'!$A:$A,0),MATCH(AF305,'Other India financials'!$1:$1,0)),"")</f>
        <v>0.67048258141260086</v>
      </c>
      <c r="AG307" s="318">
        <f>IFERROR(INDEX('Other India financials'!$A:$ABB,MATCH($AA307,'Other India financials'!$A:$A,0),MATCH(AG305,'Other India financials'!$1:$1,0)),"")</f>
        <v>0.6653121050898847</v>
      </c>
      <c r="AH307" s="318">
        <f>IFERROR(INDEX('Other India financials'!$A:$ABB,MATCH($AA307,'Other India financials'!$A:$A,0),MATCH(AH305,'Other India financials'!$1:$1,0)),"")</f>
        <v>0.6696845590582895</v>
      </c>
      <c r="AI307" s="318">
        <f>IFERROR(INDEX('Other India financials'!$A:$ABB,MATCH($AA307,'Other India financials'!$A:$A,0),MATCH(AI305,'Other India financials'!$1:$1,0)),"")</f>
        <v>0.66599824539415964</v>
      </c>
      <c r="AJ307" s="318">
        <f>IFERROR(INDEX('Other India financials'!$A:$ABB,MATCH($AA307,'Other India financials'!$A:$A,0),MATCH(AJ305,'Other India financials'!$1:$1,0)),"")</f>
        <v>0.67221438234224173</v>
      </c>
      <c r="AK307" s="318">
        <f>IFERROR(INDEX('Other India financials'!$A:$ABB,MATCH($AA307,'Other India financials'!$A:$A,0),MATCH(AK305,'Other India financials'!$1:$1,0)),"")</f>
        <v>0.65574244747695609</v>
      </c>
      <c r="AL307" s="318">
        <f>IFERROR(INDEX('Other India financials'!$A:$ABB,MATCH($AA307,'Other India financials'!$A:$A,0),MATCH(AL305,'Other India financials'!$1:$1,0)),"")</f>
        <v>0.6387871991888564</v>
      </c>
      <c r="AM307" s="318">
        <f>IFERROR(INDEX('Other India financials'!$A:$ABB,MATCH($AA307,'Other India financials'!$A:$A,0),MATCH(AM305,'Other India financials'!$1:$1,0)),"")</f>
        <v>0.59707892731545098</v>
      </c>
      <c r="AN307" s="318">
        <f>IFERROR(INDEX('Other India financials'!$A:$ABB,MATCH($AA307,'Other India financials'!$A:$A,0),MATCH(AN305,'Other India financials'!$1:$1,0)),"")</f>
        <v>0.55913544290052752</v>
      </c>
      <c r="AO307" s="318">
        <f>IFERROR(INDEX('Other India financials'!$A:$ABB,MATCH($AA307,'Other India financials'!$A:$A,0),MATCH(AO305,'Other India financials'!$1:$1,0)),"")</f>
        <v>0.55982393391332452</v>
      </c>
      <c r="AP307" s="318">
        <f>IFERROR(INDEX('Other India financials'!$A:$ABB,MATCH($AA307,'Other India financials'!$A:$A,0),MATCH(AP305,'Other India financials'!$1:$1,0)),"")</f>
        <v>0.57593807120191076</v>
      </c>
      <c r="AQ307" s="318">
        <f>IFERROR(INDEX('Other India financials'!$A:$ABB,MATCH($AA307,'Other India financials'!$A:$A,0),MATCH(AQ305,'Other India financials'!$1:$1,0)),"")</f>
        <v>0.56053152893331637</v>
      </c>
      <c r="AR307" s="318">
        <f>IFERROR(INDEX('Other India financials'!$A:$ABB,MATCH($AA307,'Other India financials'!$A:$A,0),MATCH(AR305,'Other India financials'!$1:$1,0)),"")</f>
        <v>0.54675981884046609</v>
      </c>
      <c r="AS307" s="318">
        <f>IFERROR(INDEX('Other India financials'!$A:$ABB,MATCH($AA307,'Other India financials'!$A:$A,0),MATCH(AS305,'Other India financials'!$1:$1,0)),"")</f>
        <v>0.57076682714585014</v>
      </c>
      <c r="AT307" s="318">
        <f>IFERROR(INDEX('Other India financials'!$A:$ABB,MATCH($AA307,'Other India financials'!$A:$A,0),MATCH(AT305,'Other India financials'!$1:$1,0)),"")</f>
        <v>0.56646506241153005</v>
      </c>
      <c r="AU307" s="318">
        <f>IFERROR(INDEX('Other India financials'!$A:$ABB,MATCH($AA307,'Other India financials'!$A:$A,0),MATCH(AU305,'Other India financials'!$1:$1,0)),"")</f>
        <v>0.55931979963089906</v>
      </c>
    </row>
    <row r="308" spans="1:47">
      <c r="A308" s="49"/>
      <c r="B308" s="49"/>
      <c r="C308" s="49"/>
      <c r="D308" s="49"/>
      <c r="E308" s="49"/>
      <c r="F308" s="49"/>
      <c r="G308" s="49"/>
      <c r="H308" s="49"/>
      <c r="I308" s="49"/>
      <c r="J308" s="49"/>
      <c r="K308" s="49"/>
      <c r="L308" s="49"/>
      <c r="M308" s="49"/>
      <c r="N308" s="49"/>
      <c r="O308" s="49"/>
      <c r="P308" s="49"/>
      <c r="Q308" s="49"/>
      <c r="R308" s="49"/>
      <c r="S308" s="49"/>
      <c r="T308" s="49"/>
      <c r="U308" s="49"/>
      <c r="V308" s="49"/>
      <c r="W308" s="49"/>
      <c r="AA308" s="316" t="str">
        <f>'Other India financials'!A94</f>
        <v>Airtel Business EBITDA Margin</v>
      </c>
      <c r="AB308" s="318">
        <f>IFERROR(INDEX('Other India financials'!$A:$ABB,MATCH($AA308,'Other India financials'!$A:$A,0),MATCH(AB305,'Other India financials'!$1:$1,0)),"")</f>
        <v>0.36547772266363882</v>
      </c>
      <c r="AC308" s="318">
        <f>IFERROR(INDEX('Other India financials'!$A:$ABB,MATCH($AA308,'Other India financials'!$A:$A,0),MATCH(AC305,'Other India financials'!$1:$1,0)),"")</f>
        <v>0.39886010794125637</v>
      </c>
      <c r="AD308" s="318">
        <f>IFERROR(INDEX('Other India financials'!$A:$ABB,MATCH($AA308,'Other India financials'!$A:$A,0),MATCH(AD305,'Other India financials'!$1:$1,0)),"")</f>
        <v>0.36296658415873262</v>
      </c>
      <c r="AE308" s="318">
        <f>IFERROR(INDEX('Other India financials'!$A:$ABB,MATCH($AA308,'Other India financials'!$A:$A,0),MATCH(AE305,'Other India financials'!$1:$1,0)),"")</f>
        <v>0.37345467281485345</v>
      </c>
      <c r="AF308" s="318">
        <f>IFERROR(INDEX('Other India financials'!$A:$ABB,MATCH($AA308,'Other India financials'!$A:$A,0),MATCH(AF305,'Other India financials'!$1:$1,0)),"")</f>
        <v>0.38708115407938326</v>
      </c>
      <c r="AG308" s="318">
        <f>IFERROR(INDEX('Other India financials'!$A:$ABB,MATCH($AA308,'Other India financials'!$A:$A,0),MATCH(AG305,'Other India financials'!$1:$1,0)),"")</f>
        <v>0.40158446166874001</v>
      </c>
      <c r="AH308" s="318">
        <f>IFERROR(INDEX('Other India financials'!$A:$ABB,MATCH($AA308,'Other India financials'!$A:$A,0),MATCH(AH305,'Other India financials'!$1:$1,0)),"")</f>
        <v>0.38753295702698026</v>
      </c>
      <c r="AI308" s="318">
        <f>IFERROR(INDEX('Other India financials'!$A:$ABB,MATCH($AA308,'Other India financials'!$A:$A,0),MATCH(AI305,'Other India financials'!$1:$1,0)),"")</f>
        <v>0.39851825895427129</v>
      </c>
      <c r="AJ308" s="318">
        <f>IFERROR(INDEX('Other India financials'!$A:$ABB,MATCH($AA308,'Other India financials'!$A:$A,0),MATCH(AJ305,'Other India financials'!$1:$1,0)),"")</f>
        <v>0.38539366562825011</v>
      </c>
      <c r="AK308" s="318">
        <f>IFERROR(INDEX('Other India financials'!$A:$ABB,MATCH($AA308,'Other India financials'!$A:$A,0),MATCH(AK305,'Other India financials'!$1:$1,0)),"")</f>
        <v>0.39358020705978347</v>
      </c>
      <c r="AL308" s="318">
        <f>IFERROR(INDEX('Other India financials'!$A:$ABB,MATCH($AA308,'Other India financials'!$A:$A,0),MATCH(AL305,'Other India financials'!$1:$1,0)),"")</f>
        <v>0.38966280901213168</v>
      </c>
      <c r="AM308" s="318">
        <f>IFERROR(INDEX('Other India financials'!$A:$ABB,MATCH($AA308,'Other India financials'!$A:$A,0),MATCH(AM305,'Other India financials'!$1:$1,0)),"")</f>
        <v>0.39217931313352211</v>
      </c>
      <c r="AN308" s="318">
        <f>IFERROR(INDEX('Other India financials'!$A:$ABB,MATCH($AA308,'Other India financials'!$A:$A,0),MATCH(AN305,'Other India financials'!$1:$1,0)),"")</f>
        <v>0.39870183141638926</v>
      </c>
      <c r="AO308" s="318">
        <f>IFERROR(INDEX('Other India financials'!$A:$ABB,MATCH($AA308,'Other India financials'!$A:$A,0),MATCH(AO305,'Other India financials'!$1:$1,0)),"")</f>
        <v>0.41129085391226028</v>
      </c>
      <c r="AP308" s="318">
        <f>IFERROR(INDEX('Other India financials'!$A:$ABB,MATCH($AA308,'Other India financials'!$A:$A,0),MATCH(AP305,'Other India financials'!$1:$1,0)),"")</f>
        <v>0.39527664271923357</v>
      </c>
      <c r="AQ308" s="318">
        <f>IFERROR(INDEX('Other India financials'!$A:$ABB,MATCH($AA308,'Other India financials'!$A:$A,0),MATCH(AQ305,'Other India financials'!$1:$1,0)),"")</f>
        <v>0.40269351648669321</v>
      </c>
      <c r="AR308" s="318">
        <f>IFERROR(INDEX('Other India financials'!$A:$ABB,MATCH($AA308,'Other India financials'!$A:$A,0),MATCH(AR305,'Other India financials'!$1:$1,0)),"")</f>
        <v>0.39703376109904198</v>
      </c>
      <c r="AS308" s="318">
        <f>IFERROR(INDEX('Other India financials'!$A:$ABB,MATCH($AA308,'Other India financials'!$A:$A,0),MATCH(AS305,'Other India financials'!$1:$1,0)),"")</f>
        <v>0.38139221355180697</v>
      </c>
      <c r="AT308" s="318">
        <f>IFERROR(INDEX('Other India financials'!$A:$ABB,MATCH($AA308,'Other India financials'!$A:$A,0),MATCH(AT305,'Other India financials'!$1:$1,0)),"")</f>
        <v>0.36254907331324754</v>
      </c>
      <c r="AU308" s="318">
        <f>IFERROR(INDEX('Other India financials'!$A:$ABB,MATCH($AA308,'Other India financials'!$A:$A,0),MATCH(AU305,'Other India financials'!$1:$1,0)),"")</f>
        <v>0.35731588718946161</v>
      </c>
    </row>
    <row r="309" spans="1:47">
      <c r="A309" s="49"/>
      <c r="B309" s="49"/>
      <c r="C309" s="49"/>
      <c r="D309" s="49"/>
      <c r="E309" s="49"/>
      <c r="F309" s="49"/>
      <c r="G309" s="49"/>
      <c r="H309" s="49"/>
      <c r="I309" s="49"/>
      <c r="J309" s="49"/>
      <c r="K309" s="49"/>
      <c r="L309" s="49"/>
      <c r="M309" s="49"/>
      <c r="N309" s="49"/>
      <c r="O309" s="49"/>
      <c r="P309" s="49"/>
      <c r="Q309" s="49"/>
      <c r="R309" s="49"/>
      <c r="S309" s="49"/>
      <c r="T309" s="49"/>
      <c r="U309" s="49"/>
      <c r="V309" s="49"/>
      <c r="W309" s="49"/>
    </row>
    <row r="310" spans="1:47">
      <c r="A310" s="49"/>
      <c r="B310" s="49"/>
      <c r="C310" s="49"/>
      <c r="D310" s="49"/>
      <c r="E310" s="49"/>
      <c r="F310" s="49"/>
      <c r="G310" s="49"/>
      <c r="H310" s="49"/>
      <c r="I310" s="49"/>
      <c r="J310" s="49"/>
      <c r="K310" s="49"/>
      <c r="L310" s="49"/>
      <c r="M310" s="49"/>
      <c r="N310" s="49"/>
      <c r="O310" s="49"/>
      <c r="P310" s="49"/>
      <c r="Q310" s="49"/>
      <c r="R310" s="49"/>
      <c r="S310" s="49"/>
      <c r="T310" s="49"/>
      <c r="U310" s="49"/>
      <c r="V310" s="49"/>
      <c r="W310" s="49"/>
    </row>
    <row r="311" spans="1:47">
      <c r="A311" s="49"/>
      <c r="B311" s="49"/>
      <c r="C311" s="49"/>
      <c r="D311" s="49"/>
      <c r="E311" s="49"/>
      <c r="F311" s="49"/>
      <c r="G311" s="49"/>
      <c r="H311" s="49"/>
      <c r="I311" s="49"/>
      <c r="J311" s="49"/>
      <c r="K311" s="49"/>
      <c r="L311" s="49"/>
      <c r="M311" s="49"/>
      <c r="N311" s="49"/>
      <c r="O311" s="49"/>
      <c r="P311" s="49"/>
      <c r="Q311" s="49"/>
      <c r="R311" s="49"/>
      <c r="S311" s="49"/>
      <c r="T311" s="49"/>
      <c r="U311" s="49"/>
      <c r="V311" s="49"/>
      <c r="W311" s="49"/>
    </row>
    <row r="312" spans="1:47">
      <c r="A312" s="49"/>
      <c r="B312" s="49"/>
      <c r="C312" s="49"/>
      <c r="D312" s="49"/>
      <c r="E312" s="49"/>
      <c r="F312" s="49"/>
      <c r="G312" s="49"/>
      <c r="H312" s="49"/>
      <c r="I312" s="49"/>
      <c r="J312" s="49"/>
      <c r="K312" s="49"/>
      <c r="L312" s="49"/>
      <c r="M312" s="49"/>
      <c r="N312" s="49"/>
      <c r="O312" s="49"/>
      <c r="P312" s="49"/>
      <c r="Q312" s="49"/>
      <c r="R312" s="49"/>
      <c r="S312" s="49"/>
      <c r="T312" s="49"/>
      <c r="U312" s="49"/>
      <c r="V312" s="49"/>
      <c r="W312" s="49"/>
    </row>
    <row r="313" spans="1:47">
      <c r="A313" s="49"/>
      <c r="B313" s="49"/>
      <c r="C313" s="49"/>
      <c r="D313" s="49"/>
      <c r="E313" s="49"/>
      <c r="F313" s="49"/>
      <c r="G313" s="49"/>
      <c r="H313" s="49"/>
      <c r="I313" s="49"/>
      <c r="J313" s="49"/>
      <c r="K313" s="49"/>
      <c r="L313" s="49"/>
      <c r="M313" s="49"/>
      <c r="N313" s="49"/>
      <c r="O313" s="49"/>
      <c r="P313" s="49"/>
      <c r="Q313" s="49"/>
      <c r="R313" s="49"/>
      <c r="S313" s="49"/>
      <c r="T313" s="49"/>
      <c r="U313" s="49"/>
      <c r="V313" s="49"/>
      <c r="W313" s="49"/>
      <c r="AB313" s="303">
        <f t="shared" ref="AB313" si="495">AC313-1</f>
        <v>35</v>
      </c>
      <c r="AC313" s="303">
        <f t="shared" ref="AC313" si="496">AD313-1</f>
        <v>36</v>
      </c>
      <c r="AD313" s="303">
        <f t="shared" ref="AD313" si="497">AE313-1</f>
        <v>37</v>
      </c>
      <c r="AE313" s="303">
        <f t="shared" ref="AE313" si="498">AF313-1</f>
        <v>38</v>
      </c>
      <c r="AF313" s="303">
        <f t="shared" ref="AF313" si="499">AG313-1</f>
        <v>39</v>
      </c>
      <c r="AG313" s="303">
        <f t="shared" ref="AG313" si="500">AH313-1</f>
        <v>40</v>
      </c>
      <c r="AH313" s="303">
        <f t="shared" ref="AH313" si="501">AI313-1</f>
        <v>41</v>
      </c>
      <c r="AI313" s="303">
        <f t="shared" ref="AI313" si="502">AJ313-1</f>
        <v>42</v>
      </c>
      <c r="AJ313" s="303">
        <f t="shared" ref="AJ313" si="503">AK313-1</f>
        <v>43</v>
      </c>
      <c r="AK313" s="303">
        <f t="shared" ref="AK313" si="504">AL313-1</f>
        <v>44</v>
      </c>
      <c r="AL313" s="303">
        <f t="shared" ref="AL313" si="505">AM313-1</f>
        <v>45</v>
      </c>
      <c r="AM313" s="303">
        <f t="shared" ref="AM313" si="506">AN313-1</f>
        <v>46</v>
      </c>
      <c r="AN313" s="303">
        <f t="shared" ref="AN313" si="507">AO313-1</f>
        <v>47</v>
      </c>
      <c r="AO313" s="303">
        <f t="shared" ref="AO313" si="508">AP313-1</f>
        <v>48</v>
      </c>
      <c r="AP313" s="303">
        <f t="shared" ref="AP313" si="509">AQ313-1</f>
        <v>49</v>
      </c>
      <c r="AQ313" s="303">
        <f t="shared" ref="AQ313" si="510">AR313-1</f>
        <v>50</v>
      </c>
      <c r="AR313" s="303">
        <f t="shared" ref="AR313" si="511">AS313-1</f>
        <v>51</v>
      </c>
      <c r="AS313" s="303">
        <f t="shared" ref="AS313" si="512">AT313-1</f>
        <v>52</v>
      </c>
      <c r="AT313" s="303">
        <f t="shared" ref="AT313" si="513">AU313-1</f>
        <v>53</v>
      </c>
      <c r="AU313" s="303">
        <f>VLOOKUP(AU314,Dates!$A:$D,2,FALSE)</f>
        <v>54</v>
      </c>
    </row>
    <row r="314" spans="1:47">
      <c r="A314" s="49"/>
      <c r="B314" s="49"/>
      <c r="C314" s="49"/>
      <c r="D314" s="49"/>
      <c r="E314" s="49"/>
      <c r="F314" s="49"/>
      <c r="G314" s="49"/>
      <c r="H314" s="49"/>
      <c r="I314" s="49"/>
      <c r="J314" s="49"/>
      <c r="K314" s="49"/>
      <c r="L314" s="49"/>
      <c r="M314" s="49"/>
      <c r="N314" s="49"/>
      <c r="O314" s="49"/>
      <c r="P314" s="49"/>
      <c r="Q314" s="49"/>
      <c r="R314" s="49"/>
      <c r="S314" s="49"/>
      <c r="T314" s="49"/>
      <c r="U314" s="49"/>
      <c r="V314" s="49"/>
      <c r="W314" s="49"/>
      <c r="AB314" s="303" t="str">
        <f>IFERROR(VLOOKUP(AB313,Dates!$B:$D,3,FALSE),"")</f>
        <v>3Q20</v>
      </c>
      <c r="AC314" s="303" t="str">
        <f>IFERROR(VLOOKUP(AC313,Dates!$B:$D,3,FALSE),"")</f>
        <v>4Q20</v>
      </c>
      <c r="AD314" s="303" t="str">
        <f>IFERROR(VLOOKUP(AD313,Dates!$B:$D,3,FALSE),"")</f>
        <v>1Q21</v>
      </c>
      <c r="AE314" s="303" t="str">
        <f>IFERROR(VLOOKUP(AE313,Dates!$B:$D,3,FALSE),"")</f>
        <v>2Q21</v>
      </c>
      <c r="AF314" s="303" t="str">
        <f>IFERROR(VLOOKUP(AF313,Dates!$B:$D,3,FALSE),"")</f>
        <v>3Q21</v>
      </c>
      <c r="AG314" s="303" t="str">
        <f>IFERROR(VLOOKUP(AG313,Dates!$B:$D,3,FALSE),"")</f>
        <v>4Q21</v>
      </c>
      <c r="AH314" s="303" t="str">
        <f>IFERROR(VLOOKUP(AH313,Dates!$B:$D,3,FALSE),"")</f>
        <v>1Q22</v>
      </c>
      <c r="AI314" s="303" t="str">
        <f>IFERROR(VLOOKUP(AI313,Dates!$B:$D,3,FALSE),"")</f>
        <v>2Q22</v>
      </c>
      <c r="AJ314" s="303" t="str">
        <f>IFERROR(VLOOKUP(AJ313,Dates!$B:$D,3,FALSE),"")</f>
        <v>3Q22</v>
      </c>
      <c r="AK314" s="303" t="str">
        <f>IFERROR(VLOOKUP(AK313,Dates!$B:$D,3,FALSE),"")</f>
        <v>4Q22</v>
      </c>
      <c r="AL314" s="303" t="str">
        <f>IFERROR(VLOOKUP(AL313,Dates!$B:$D,3,FALSE),"")</f>
        <v>1Q23</v>
      </c>
      <c r="AM314" s="303" t="str">
        <f>IFERROR(VLOOKUP(AM313,Dates!$B:$D,3,FALSE),"")</f>
        <v>2Q23</v>
      </c>
      <c r="AN314" s="303" t="str">
        <f>IFERROR(VLOOKUP(AN313,Dates!$B:$D,3,FALSE),"")</f>
        <v>3Q23</v>
      </c>
      <c r="AO314" s="303" t="str">
        <f>IFERROR(VLOOKUP(AO313,Dates!$B:$D,3,FALSE),"")</f>
        <v>4Q23</v>
      </c>
      <c r="AP314" s="303" t="str">
        <f>IFERROR(VLOOKUP(AP313,Dates!$B:$D,3,FALSE),"")</f>
        <v>1Q24</v>
      </c>
      <c r="AQ314" s="303" t="str">
        <f>IFERROR(VLOOKUP(AQ313,Dates!$B:$D,3,FALSE),"")</f>
        <v>2Q24</v>
      </c>
      <c r="AR314" s="303" t="str">
        <f>IFERROR(VLOOKUP(AR313,Dates!$B:$D,3,FALSE),"")</f>
        <v>3Q24</v>
      </c>
      <c r="AS314" s="303" t="str">
        <f>IFERROR(VLOOKUP(AS313,Dates!$B:$D,3,FALSE),"")</f>
        <v>4Q24</v>
      </c>
      <c r="AT314" s="303" t="str">
        <f>IFERROR(VLOOKUP(AT313,Dates!$B:$D,3,FALSE),"")</f>
        <v>1Q25</v>
      </c>
      <c r="AU314" s="315" t="str">
        <f>$G$3</f>
        <v>2Q25</v>
      </c>
    </row>
    <row r="315" spans="1:47">
      <c r="A315" s="49"/>
      <c r="B315" s="49"/>
      <c r="C315" s="49"/>
      <c r="D315" s="49"/>
      <c r="E315" s="49"/>
      <c r="F315" s="49"/>
      <c r="G315" s="49"/>
      <c r="H315" s="49"/>
      <c r="I315" s="49"/>
      <c r="J315" s="49"/>
      <c r="K315" s="49"/>
      <c r="L315" s="49"/>
      <c r="M315" s="49"/>
      <c r="N315" s="49"/>
      <c r="O315" s="49"/>
      <c r="P315" s="49"/>
      <c r="Q315" s="49"/>
      <c r="R315" s="49"/>
      <c r="S315" s="49"/>
      <c r="T315" s="49"/>
      <c r="U315" s="49"/>
      <c r="V315" s="49"/>
      <c r="W315" s="49"/>
      <c r="AA315" s="316" t="str">
        <f>'Other India financials'!A7</f>
        <v>EBITDA HS</v>
      </c>
      <c r="AB315" s="317">
        <f>IFERROR(INDEX('Other India financials'!$A:$ABB,MATCH($AA315,'Other India financials'!$A:$A,0),MATCH(AB314,'Other India financials'!$1:$1,0)),"")</f>
        <v>3302.3405690000022</v>
      </c>
      <c r="AC315" s="317">
        <f>IFERROR(INDEX('Other India financials'!$A:$ABB,MATCH($AA315,'Other India financials'!$A:$A,0),MATCH(AC314,'Other India financials'!$1:$1,0)),"")</f>
        <v>3011.8007570000013</v>
      </c>
      <c r="AD315" s="317">
        <f>IFERROR(INDEX('Other India financials'!$A:$ABB,MATCH($AA315,'Other India financials'!$A:$A,0),MATCH(AD314,'Other India financials'!$1:$1,0)),"")</f>
        <v>3513.7932100000003</v>
      </c>
      <c r="AE315" s="317">
        <f>IFERROR(INDEX('Other India financials'!$A:$ABB,MATCH($AA315,'Other India financials'!$A:$A,0),MATCH(AE314,'Other India financials'!$1:$1,0)),"")</f>
        <v>3424.4684389999989</v>
      </c>
      <c r="AF315" s="317">
        <f>IFERROR(INDEX('Other India financials'!$A:$ABB,MATCH($AA315,'Other India financials'!$A:$A,0),MATCH(AF314,'Other India financials'!$1:$1,0)),"")</f>
        <v>3150.9537069999983</v>
      </c>
      <c r="AG315" s="317">
        <f>IFERROR(INDEX('Other India financials'!$A:$ABB,MATCH($AA315,'Other India financials'!$A:$A,0),MATCH(AG314,'Other India financials'!$1:$1,0)),"")</f>
        <v>3344.5646820000015</v>
      </c>
      <c r="AH315" s="317">
        <f>IFERROR(INDEX('Other India financials'!$A:$ABB,MATCH($AA315,'Other India financials'!$A:$A,0),MATCH(AH314,'Other India financials'!$1:$1,0)),"")</f>
        <v>3229.5170680000001</v>
      </c>
      <c r="AI315" s="317">
        <f>IFERROR(INDEX('Other India financials'!$A:$ABB,MATCH($AA315,'Other India financials'!$A:$A,0),MATCH(AI314,'Other India financials'!$1:$1,0)),"")</f>
        <v>3779</v>
      </c>
      <c r="AJ315" s="317">
        <f>IFERROR(INDEX('Other India financials'!$A:$ABB,MATCH($AA315,'Other India financials'!$A:$A,0),MATCH(AJ314,'Other India financials'!$1:$1,0)),"")</f>
        <v>4357.5205129999968</v>
      </c>
      <c r="AK315" s="317">
        <f>IFERROR(INDEX('Other India financials'!$A:$ABB,MATCH($AA315,'Other India financials'!$A:$A,0),MATCH(AK314,'Other India financials'!$1:$1,0)),"")</f>
        <v>4773.5691250000027</v>
      </c>
      <c r="AL315" s="317">
        <f>IFERROR(INDEX('Other India financials'!$A:$ABB,MATCH($AA315,'Other India financials'!$A:$A,0),MATCH(AL314,'Other India financials'!$1:$1,0)),"")</f>
        <v>4927.0859599999994</v>
      </c>
      <c r="AM315" s="317">
        <f>IFERROR(INDEX('Other India financials'!$A:$ABB,MATCH($AA315,'Other India financials'!$A:$A,0),MATCH(AM314,'Other India financials'!$1:$1,0)),"")</f>
        <v>4983.1787260000028</v>
      </c>
      <c r="AN315" s="317">
        <f>IFERROR(INDEX('Other India financials'!$A:$ABB,MATCH($AA315,'Other India financials'!$A:$A,0),MATCH(AN314,'Other India financials'!$1:$1,0)),"")</f>
        <v>5172.8987422755572</v>
      </c>
      <c r="AO315" s="317">
        <f>IFERROR(INDEX('Other India financials'!$A:$ABB,MATCH($AA315,'Other India financials'!$A:$A,0),MATCH(AO314,'Other India financials'!$1:$1,0)),"")</f>
        <v>5526.1887403925384</v>
      </c>
      <c r="AP315" s="317">
        <f>IFERROR(INDEX('Other India financials'!$A:$ABB,MATCH($AA315,'Other India financials'!$A:$A,0),MATCH(AP314,'Other India financials'!$1:$1,0)),"")</f>
        <v>5860.4299759999994</v>
      </c>
      <c r="AQ315" s="317">
        <f>IFERROR(INDEX('Other India financials'!$A:$ABB,MATCH($AA315,'Other India financials'!$A:$A,0),MATCH(AQ314,'Other India financials'!$1:$1,0)),"")</f>
        <v>6073.4301899999991</v>
      </c>
      <c r="AR315" s="317">
        <f>IFERROR(INDEX('Other India financials'!$A:$ABB,MATCH($AA315,'Other India financials'!$A:$A,0),MATCH(AR314,'Other India financials'!$1:$1,0)),"")</f>
        <v>6383.5626940000038</v>
      </c>
      <c r="AS315" s="317">
        <f>IFERROR(INDEX('Other India financials'!$A:$ABB,MATCH($AA315,'Other India financials'!$A:$A,0),MATCH(AS314,'Other India financials'!$1:$1,0)),"")</f>
        <v>6565.5190680000014</v>
      </c>
      <c r="AT315" s="317">
        <f>IFERROR(INDEX('Other India financials'!$A:$ABB,MATCH($AA315,'Other India financials'!$A:$A,0),MATCH(AT314,'Other India financials'!$1:$1,0)),"")</f>
        <v>6867</v>
      </c>
      <c r="AU315" s="317">
        <f>IFERROR(INDEX('Other India financials'!$A:$ABB,MATCH($AA315,'Other India financials'!$A:$A,0),MATCH(AU314,'Other India financials'!$1:$1,0)),"")</f>
        <v>7203</v>
      </c>
    </row>
    <row r="316" spans="1:47">
      <c r="A316" s="49"/>
      <c r="B316" s="49"/>
      <c r="C316" s="49"/>
      <c r="D316" s="49"/>
      <c r="E316" s="49"/>
      <c r="F316" s="49"/>
      <c r="G316" s="49"/>
      <c r="H316" s="49"/>
      <c r="I316" s="49"/>
      <c r="J316" s="49"/>
      <c r="K316" s="49"/>
      <c r="L316" s="49"/>
      <c r="M316" s="49"/>
      <c r="N316" s="49"/>
      <c r="O316" s="49"/>
      <c r="P316" s="49"/>
      <c r="Q316" s="49"/>
      <c r="R316" s="49"/>
      <c r="S316" s="49"/>
      <c r="T316" s="49"/>
      <c r="U316" s="49"/>
      <c r="V316" s="49"/>
      <c r="W316" s="49"/>
      <c r="AA316" s="316" t="str">
        <f>'Other India financials'!A16</f>
        <v>EBITDA DTV</v>
      </c>
      <c r="AB316" s="317">
        <f>IFERROR(INDEX('Other India financials'!$A:$ABB,MATCH($AA316,'Other India financials'!$A:$A,0),MATCH(AB314,'Other India financials'!$1:$1,0)),"")</f>
        <v>5440.677483999998</v>
      </c>
      <c r="AC316" s="317">
        <f>IFERROR(INDEX('Other India financials'!$A:$ABB,MATCH($AA316,'Other India financials'!$A:$A,0),MATCH(AC314,'Other India financials'!$1:$1,0)),"")</f>
        <v>3648.1673410000021</v>
      </c>
      <c r="AD316" s="317">
        <f>IFERROR(INDEX('Other India financials'!$A:$ABB,MATCH($AA316,'Other India financials'!$A:$A,0),MATCH(AD314,'Other India financials'!$1:$1,0)),"")</f>
        <v>5041.1498350000002</v>
      </c>
      <c r="AE316" s="317">
        <f>IFERROR(INDEX('Other India financials'!$A:$ABB,MATCH($AA316,'Other India financials'!$A:$A,0),MATCH(AE314,'Other India financials'!$1:$1,0)),"")</f>
        <v>5350.9237969999995</v>
      </c>
      <c r="AF316" s="317">
        <f>IFERROR(INDEX('Other India financials'!$A:$ABB,MATCH($AA316,'Other India financials'!$A:$A,0),MATCH(AF314,'Other India financials'!$1:$1,0)),"")</f>
        <v>5291.4703479999989</v>
      </c>
      <c r="AG316" s="317">
        <f>IFERROR(INDEX('Other India financials'!$A:$ABB,MATCH($AA316,'Other India financials'!$A:$A,0),MATCH(AG314,'Other India financials'!$1:$1,0)),"")</f>
        <v>5105.0719160000044</v>
      </c>
      <c r="AH316" s="317">
        <f>IFERROR(INDEX('Other India financials'!$A:$ABB,MATCH($AA316,'Other India financials'!$A:$A,0),MATCH(AH314,'Other India financials'!$1:$1,0)),"")</f>
        <v>5420.7716569999993</v>
      </c>
      <c r="AI316" s="317">
        <f>IFERROR(INDEX('Other India financials'!$A:$ABB,MATCH($AA316,'Other India financials'!$A:$A,0),MATCH(AI314,'Other India financials'!$1:$1,0)),"")</f>
        <v>5314</v>
      </c>
      <c r="AJ316" s="317">
        <f>IFERROR(INDEX('Other India financials'!$A:$ABB,MATCH($AA316,'Other India financials'!$A:$A,0),MATCH(AJ314,'Other India financials'!$1:$1,0)),"")</f>
        <v>5318.8595919999971</v>
      </c>
      <c r="AK316" s="317">
        <f>IFERROR(INDEX('Other India financials'!$A:$ABB,MATCH($AA316,'Other India financials'!$A:$A,0),MATCH(AK314,'Other India financials'!$1:$1,0)),"")</f>
        <v>4952.0216600000058</v>
      </c>
      <c r="AL316" s="317">
        <f>IFERROR(INDEX('Other India financials'!$A:$ABB,MATCH($AA316,'Other India financials'!$A:$A,0),MATCH(AL314,'Other India financials'!$1:$1,0)),"")</f>
        <v>4779.2623769999991</v>
      </c>
      <c r="AM316" s="317">
        <f>IFERROR(INDEX('Other India financials'!$A:$ABB,MATCH($AA316,'Other India financials'!$A:$A,0),MATCH(AM314,'Other India financials'!$1:$1,0)),"")</f>
        <v>4351.539568000002</v>
      </c>
      <c r="AN316" s="317">
        <f>IFERROR(INDEX('Other India financials'!$A:$ABB,MATCH($AA316,'Other India financials'!$A:$A,0),MATCH(AN314,'Other India financials'!$1:$1,0)),"")</f>
        <v>4132.1344969999991</v>
      </c>
      <c r="AO316" s="317">
        <f>IFERROR(INDEX('Other India financials'!$A:$ABB,MATCH($AA316,'Other India financials'!$A:$A,0),MATCH(AO314,'Other India financials'!$1:$1,0)),"")</f>
        <v>4081.3691570000028</v>
      </c>
      <c r="AP316" s="317">
        <f>IFERROR(INDEX('Other India financials'!$A:$ABB,MATCH($AA316,'Other India financials'!$A:$A,0),MATCH(AP314,'Other India financials'!$1:$1,0)),"")</f>
        <v>4263.8057280000003</v>
      </c>
      <c r="AQ316" s="317">
        <f>IFERROR(INDEX('Other India financials'!$A:$ABB,MATCH($AA316,'Other India financials'!$A:$A,0),MATCH(AQ314,'Other India financials'!$1:$1,0)),"")</f>
        <v>4212.1457589999982</v>
      </c>
      <c r="AR316" s="317">
        <f>IFERROR(INDEX('Other India financials'!$A:$ABB,MATCH($AA316,'Other India financials'!$A:$A,0),MATCH(AR314,'Other India financials'!$1:$1,0)),"")</f>
        <v>4285.0463120000013</v>
      </c>
      <c r="AS316" s="317">
        <f>IFERROR(INDEX('Other India financials'!$A:$ABB,MATCH($AA316,'Other India financials'!$A:$A,0),MATCH(AS314,'Other India financials'!$1:$1,0)),"")</f>
        <v>4391.1461019999979</v>
      </c>
      <c r="AT316" s="317">
        <f>IFERROR(INDEX('Other India financials'!$A:$ABB,MATCH($AA316,'Other India financials'!$A:$A,0),MATCH(AT314,'Other India financials'!$1:$1,0)),"")</f>
        <v>4402</v>
      </c>
      <c r="AU316" s="317">
        <f>IFERROR(INDEX('Other India financials'!$A:$ABB,MATCH($AA316,'Other India financials'!$A:$A,0),MATCH(AU314,'Other India financials'!$1:$1,0)),"")</f>
        <v>4243</v>
      </c>
    </row>
    <row r="317" spans="1:47">
      <c r="A317" s="49"/>
      <c r="B317" s="49"/>
      <c r="C317" s="49"/>
      <c r="D317" s="49"/>
      <c r="E317" s="49"/>
      <c r="F317" s="49"/>
      <c r="G317" s="49"/>
      <c r="H317" s="49"/>
      <c r="I317" s="49"/>
      <c r="J317" s="49"/>
      <c r="K317" s="49"/>
      <c r="L317" s="49"/>
      <c r="M317" s="49"/>
      <c r="N317" s="49"/>
      <c r="O317" s="49"/>
      <c r="P317" s="49"/>
      <c r="Q317" s="49"/>
      <c r="R317" s="49"/>
      <c r="S317" s="49"/>
      <c r="T317" s="49"/>
      <c r="U317" s="49"/>
      <c r="V317" s="49"/>
      <c r="W317" s="49"/>
      <c r="AA317" s="316" t="str">
        <f>'Other India financials'!A26</f>
        <v>EBITDA Bus.</v>
      </c>
      <c r="AB317" s="317">
        <f>IFERROR(INDEX('Other India financials'!$A:$ABB,MATCH($AA317,'Other India financials'!$A:$A,0),MATCH(AB314,'Other India financials'!$1:$1,0)),"")</f>
        <v>12125.214719066998</v>
      </c>
      <c r="AC317" s="317">
        <f>IFERROR(INDEX('Other India financials'!$A:$ABB,MATCH($AA317,'Other India financials'!$A:$A,0),MATCH(AC314,'Other India financials'!$1:$1,0)),"")</f>
        <v>13466.498654933986</v>
      </c>
      <c r="AD317" s="317">
        <f>IFERROR(INDEX('Other India financials'!$A:$ABB,MATCH($AA317,'Other India financials'!$A:$A,0),MATCH(AD314,'Other India financials'!$1:$1,0)),"")</f>
        <v>12710.870055566998</v>
      </c>
      <c r="AE317" s="317">
        <f>IFERROR(INDEX('Other India financials'!$A:$ABB,MATCH($AA317,'Other India financials'!$A:$A,0),MATCH(AE314,'Other India financials'!$1:$1,0)),"")</f>
        <v>13377.363453294993</v>
      </c>
      <c r="AF317" s="317">
        <f>IFERROR(INDEX('Other India financials'!$A:$ABB,MATCH($AA317,'Other India financials'!$A:$A,0),MATCH(AF314,'Other India financials'!$1:$1,0)),"")</f>
        <v>14017.881118295978</v>
      </c>
      <c r="AG317" s="317">
        <f>IFERROR(INDEX('Other India financials'!$A:$ABB,MATCH($AA317,'Other India financials'!$A:$A,0),MATCH(AG314,'Other India financials'!$1:$1,0)),"")</f>
        <v>14867.042365331066</v>
      </c>
      <c r="AH317" s="317">
        <f>IFERROR(INDEX('Other India financials'!$A:$ABB,MATCH($AA317,'Other India financials'!$A:$A,0),MATCH(AH314,'Other India financials'!$1:$1,0)),"")</f>
        <v>14684.871011025001</v>
      </c>
      <c r="AI317" s="317">
        <f>IFERROR(INDEX('Other India financials'!$A:$ABB,MATCH($AA317,'Other India financials'!$A:$A,0),MATCH(AI314,'Other India financials'!$1:$1,0)),"")</f>
        <v>15922</v>
      </c>
      <c r="AJ317" s="317">
        <f>IFERROR(INDEX('Other India financials'!$A:$ABB,MATCH($AA317,'Other India financials'!$A:$A,0),MATCH(AJ314,'Other India financials'!$1:$1,0)),"")</f>
        <v>15823.695888786993</v>
      </c>
      <c r="AK317" s="317">
        <f>IFERROR(INDEX('Other India financials'!$A:$ABB,MATCH($AA317,'Other India financials'!$A:$A,0),MATCH(AK314,'Other India financials'!$1:$1,0)),"")</f>
        <v>16450.991253124972</v>
      </c>
      <c r="AL317" s="317">
        <f>IFERROR(INDEX('Other India financials'!$A:$ABB,MATCH($AA317,'Other India financials'!$A:$A,0),MATCH(AL314,'Other India financials'!$1:$1,0)),"")</f>
        <v>17011.212316893005</v>
      </c>
      <c r="AM317" s="317">
        <f>IFERROR(INDEX('Other India financials'!$A:$ABB,MATCH($AA317,'Other India financials'!$A:$A,0),MATCH(AM314,'Other India financials'!$1:$1,0)),"")</f>
        <v>18293.413502946998</v>
      </c>
      <c r="AN317" s="317">
        <f>IFERROR(INDEX('Other India financials'!$A:$ABB,MATCH($AA317,'Other India financials'!$A:$A,0),MATCH(AN314,'Other India financials'!$1:$1,0)),"")</f>
        <v>19049.598001704137</v>
      </c>
      <c r="AO317" s="317">
        <f>IFERROR(INDEX('Other India financials'!$A:$ABB,MATCH($AA317,'Other India financials'!$A:$A,0),MATCH(AO314,'Other India financials'!$1:$1,0)),"")</f>
        <v>19680.07435161803</v>
      </c>
      <c r="AP317" s="317">
        <f>IFERROR(INDEX('Other India financials'!$A:$ABB,MATCH($AA317,'Other India financials'!$A:$A,0),MATCH(AP314,'Other India financials'!$1:$1,0)),"")</f>
        <v>19979.335158333994</v>
      </c>
      <c r="AQ317" s="317">
        <f>IFERROR(INDEX('Other India financials'!$A:$ABB,MATCH($AA317,'Other India financials'!$A:$A,0),MATCH(AQ314,'Other India financials'!$1:$1,0)),"")</f>
        <v>20577.683013659003</v>
      </c>
      <c r="AR317" s="317">
        <f>IFERROR(INDEX('Other India financials'!$A:$ABB,MATCH($AA317,'Other India financials'!$A:$A,0),MATCH(AR314,'Other India financials'!$1:$1,0)),"")</f>
        <v>20625.113802918018</v>
      </c>
      <c r="AS317" s="317">
        <f>IFERROR(INDEX('Other India financials'!$A:$ABB,MATCH($AA317,'Other India financials'!$A:$A,0),MATCH(AS314,'Other India financials'!$1:$1,0)),"")</f>
        <v>20830.155666282943</v>
      </c>
      <c r="AT317" s="317">
        <f>IFERROR(INDEX('Other India financials'!$A:$ABB,MATCH($AA317,'Other India financials'!$A:$A,0),MATCH(AT314,'Other India financials'!$1:$1,0)),"")</f>
        <v>19855</v>
      </c>
      <c r="AU317" s="317">
        <f>IFERROR(INDEX('Other India financials'!$A:$ABB,MATCH($AA317,'Other India financials'!$A:$A,0),MATCH(AU314,'Other India financials'!$1:$1,0)),"")</f>
        <v>20208</v>
      </c>
    </row>
    <row r="318" spans="1:47">
      <c r="A318" s="49"/>
      <c r="B318" s="49"/>
      <c r="C318" s="49"/>
      <c r="D318" s="49"/>
      <c r="E318" s="49"/>
      <c r="F318" s="49"/>
      <c r="G318" s="49"/>
      <c r="H318" s="49"/>
      <c r="I318" s="49"/>
      <c r="J318" s="49"/>
      <c r="K318" s="49"/>
      <c r="L318" s="49"/>
      <c r="M318" s="49"/>
      <c r="N318" s="49"/>
      <c r="O318" s="49"/>
      <c r="P318" s="49"/>
      <c r="Q318" s="49"/>
      <c r="R318" s="49"/>
      <c r="S318" s="49"/>
      <c r="T318" s="49"/>
      <c r="U318" s="49"/>
      <c r="V318" s="49"/>
      <c r="W318" s="49"/>
    </row>
    <row r="319" spans="1:47">
      <c r="A319" s="49"/>
      <c r="B319" s="49"/>
      <c r="C319" s="49"/>
      <c r="D319" s="49"/>
      <c r="E319" s="49"/>
      <c r="F319" s="49"/>
      <c r="G319" s="49"/>
      <c r="H319" s="49"/>
      <c r="I319" s="49"/>
      <c r="J319" s="49"/>
      <c r="K319" s="49"/>
      <c r="L319" s="49"/>
      <c r="M319" s="49"/>
      <c r="N319" s="49"/>
      <c r="O319" s="49"/>
      <c r="P319" s="49"/>
      <c r="Q319" s="49"/>
      <c r="R319" s="49"/>
      <c r="S319" s="49"/>
      <c r="T319" s="49"/>
      <c r="U319" s="49"/>
      <c r="V319" s="49"/>
      <c r="W319" s="49"/>
    </row>
    <row r="320" spans="1:47">
      <c r="A320" s="49"/>
      <c r="B320" s="49" t="s">
        <v>596</v>
      </c>
      <c r="C320" s="49"/>
      <c r="D320" s="49"/>
      <c r="E320" s="49"/>
      <c r="F320" s="49"/>
      <c r="G320" s="49"/>
      <c r="H320" s="49"/>
      <c r="I320" s="49"/>
      <c r="J320" s="49"/>
      <c r="K320" s="49"/>
      <c r="L320" s="49"/>
      <c r="M320" s="49"/>
      <c r="N320" s="49"/>
      <c r="O320" s="49"/>
      <c r="P320" s="49"/>
      <c r="Q320" s="49"/>
      <c r="R320" s="49"/>
      <c r="S320" s="49"/>
      <c r="T320" s="49"/>
      <c r="U320" s="49"/>
      <c r="V320" s="49"/>
      <c r="W320" s="49"/>
    </row>
    <row r="321" spans="1:47">
      <c r="A321" s="49"/>
      <c r="B321" s="49"/>
      <c r="C321" s="49"/>
      <c r="D321" s="49"/>
      <c r="E321" s="49"/>
      <c r="F321" s="49"/>
      <c r="G321" s="49"/>
      <c r="H321" s="49"/>
      <c r="I321" s="49"/>
      <c r="J321" s="49"/>
      <c r="K321" s="49"/>
      <c r="L321" s="49"/>
      <c r="M321" s="49"/>
      <c r="N321" s="49"/>
      <c r="O321" s="49"/>
      <c r="P321" s="49"/>
      <c r="Q321" s="49"/>
      <c r="R321" s="49"/>
      <c r="S321" s="49"/>
      <c r="T321" s="49"/>
      <c r="U321" s="49"/>
      <c r="V321" s="49"/>
      <c r="W321" s="49"/>
    </row>
    <row r="322" spans="1:47">
      <c r="A322" s="1" t="s">
        <v>449</v>
      </c>
      <c r="B322" s="52" t="s">
        <v>534</v>
      </c>
      <c r="C322" s="1"/>
      <c r="D322" s="1"/>
      <c r="E322" s="1"/>
      <c r="F322" s="1"/>
      <c r="G322" s="1"/>
      <c r="H322" s="1"/>
      <c r="I322" s="1"/>
      <c r="J322" s="1"/>
      <c r="K322" s="1"/>
      <c r="L322" s="1"/>
      <c r="M322" s="1"/>
      <c r="N322" s="1"/>
      <c r="O322" s="1"/>
      <c r="P322" s="1"/>
      <c r="Q322" s="1"/>
      <c r="R322" s="1"/>
      <c r="S322" s="1"/>
      <c r="T322" s="1"/>
      <c r="U322" s="49"/>
      <c r="V322" s="49"/>
      <c r="W322" s="49"/>
    </row>
    <row r="323" spans="1:47">
      <c r="A323" s="49"/>
      <c r="B323" s="49"/>
      <c r="C323" s="49"/>
      <c r="D323" s="49"/>
      <c r="E323" s="49"/>
      <c r="F323" s="49"/>
      <c r="G323" s="49"/>
      <c r="H323" s="49"/>
      <c r="I323" s="49"/>
      <c r="J323" s="49"/>
      <c r="K323" s="49"/>
      <c r="L323" s="49"/>
      <c r="M323" s="49"/>
      <c r="N323" s="49"/>
      <c r="O323" s="49"/>
      <c r="P323" s="49"/>
      <c r="Q323" s="49"/>
      <c r="R323" s="49"/>
      <c r="S323" s="49"/>
      <c r="T323" s="49"/>
      <c r="U323" s="49"/>
      <c r="V323" s="49"/>
      <c r="W323" s="49"/>
    </row>
    <row r="324" spans="1:47">
      <c r="A324" s="49"/>
      <c r="B324" s="49"/>
      <c r="C324" s="49"/>
      <c r="D324" s="49"/>
      <c r="E324" s="49"/>
      <c r="F324" s="49"/>
      <c r="G324" s="49"/>
      <c r="H324" s="49"/>
      <c r="I324" s="49"/>
      <c r="J324" s="49"/>
      <c r="K324" s="49"/>
      <c r="L324" s="49"/>
      <c r="M324" s="49"/>
      <c r="N324" s="49"/>
      <c r="O324" s="49"/>
      <c r="P324" s="49"/>
      <c r="Q324" s="49"/>
      <c r="R324" s="49"/>
      <c r="S324" s="49"/>
      <c r="T324" s="49"/>
      <c r="U324" s="49"/>
      <c r="V324" s="49"/>
      <c r="W324" s="49"/>
    </row>
    <row r="325" spans="1:47">
      <c r="A325" s="49"/>
      <c r="B325" s="49"/>
      <c r="C325" s="49"/>
      <c r="D325" s="49"/>
      <c r="E325" s="49"/>
      <c r="F325" s="49"/>
      <c r="G325" s="49"/>
      <c r="H325" s="49"/>
      <c r="I325" s="49"/>
      <c r="J325" s="49"/>
      <c r="K325" s="49"/>
      <c r="L325" s="49"/>
      <c r="M325" s="49"/>
      <c r="N325" s="49"/>
      <c r="O325" s="49"/>
      <c r="P325" s="49"/>
      <c r="Q325" s="49"/>
      <c r="R325" s="49"/>
      <c r="S325" s="49"/>
      <c r="T325" s="49"/>
      <c r="U325" s="49"/>
      <c r="V325" s="49"/>
      <c r="W325" s="49"/>
    </row>
    <row r="326" spans="1:47">
      <c r="A326" s="49"/>
      <c r="B326" s="49"/>
      <c r="C326" s="49"/>
      <c r="D326" s="49"/>
      <c r="E326" s="49"/>
      <c r="F326" s="49"/>
      <c r="G326" s="49"/>
      <c r="H326" s="49"/>
      <c r="I326" s="49"/>
      <c r="J326" s="49"/>
      <c r="K326" s="49"/>
      <c r="L326" s="49"/>
      <c r="M326" s="49"/>
      <c r="N326" s="49"/>
      <c r="O326" s="49"/>
      <c r="P326" s="49"/>
      <c r="Q326" s="49"/>
      <c r="R326" s="49"/>
      <c r="S326" s="49"/>
      <c r="T326" s="49"/>
      <c r="U326" s="49"/>
      <c r="V326" s="49"/>
      <c r="W326" s="49"/>
      <c r="AB326" s="303">
        <f t="shared" ref="AB326" si="514">AC326-1</f>
        <v>35</v>
      </c>
      <c r="AC326" s="303">
        <f t="shared" ref="AC326" si="515">AD326-1</f>
        <v>36</v>
      </c>
      <c r="AD326" s="303">
        <f t="shared" ref="AD326" si="516">AE326-1</f>
        <v>37</v>
      </c>
      <c r="AE326" s="303">
        <f t="shared" ref="AE326" si="517">AF326-1</f>
        <v>38</v>
      </c>
      <c r="AF326" s="303">
        <f t="shared" ref="AF326" si="518">AG326-1</f>
        <v>39</v>
      </c>
      <c r="AG326" s="303">
        <f t="shared" ref="AG326" si="519">AH326-1</f>
        <v>40</v>
      </c>
      <c r="AH326" s="303">
        <f t="shared" ref="AH326" si="520">AI326-1</f>
        <v>41</v>
      </c>
      <c r="AI326" s="303">
        <f t="shared" ref="AI326" si="521">AJ326-1</f>
        <v>42</v>
      </c>
      <c r="AJ326" s="303">
        <f t="shared" ref="AJ326" si="522">AK326-1</f>
        <v>43</v>
      </c>
      <c r="AK326" s="303">
        <f t="shared" ref="AK326" si="523">AL326-1</f>
        <v>44</v>
      </c>
      <c r="AL326" s="303">
        <f t="shared" ref="AL326" si="524">AM326-1</f>
        <v>45</v>
      </c>
      <c r="AM326" s="303">
        <f t="shared" ref="AM326" si="525">AN326-1</f>
        <v>46</v>
      </c>
      <c r="AN326" s="303">
        <f t="shared" ref="AN326" si="526">AO326-1</f>
        <v>47</v>
      </c>
      <c r="AO326" s="303">
        <f t="shared" ref="AO326" si="527">AP326-1</f>
        <v>48</v>
      </c>
      <c r="AP326" s="303">
        <f t="shared" ref="AP326" si="528">AQ326-1</f>
        <v>49</v>
      </c>
      <c r="AQ326" s="303">
        <f t="shared" ref="AQ326" si="529">AR326-1</f>
        <v>50</v>
      </c>
      <c r="AR326" s="303">
        <f t="shared" ref="AR326" si="530">AS326-1</f>
        <v>51</v>
      </c>
      <c r="AS326" s="303">
        <f t="shared" ref="AS326" si="531">AT326-1</f>
        <v>52</v>
      </c>
      <c r="AT326" s="303">
        <f t="shared" ref="AT326" si="532">AU326-1</f>
        <v>53</v>
      </c>
      <c r="AU326" s="303">
        <f>VLOOKUP(AU327,Dates!$A:$D,2,FALSE)</f>
        <v>54</v>
      </c>
    </row>
    <row r="327" spans="1:47">
      <c r="A327" s="49"/>
      <c r="B327" s="49"/>
      <c r="C327" s="49"/>
      <c r="D327" s="49"/>
      <c r="E327" s="49"/>
      <c r="F327" s="49"/>
      <c r="G327" s="49"/>
      <c r="H327" s="49"/>
      <c r="I327" s="49"/>
      <c r="J327" s="49"/>
      <c r="K327" s="49"/>
      <c r="L327" s="49"/>
      <c r="M327" s="49"/>
      <c r="N327" s="49"/>
      <c r="O327" s="49"/>
      <c r="P327" s="49"/>
      <c r="Q327" s="49"/>
      <c r="R327" s="49"/>
      <c r="S327" s="49"/>
      <c r="T327" s="49"/>
      <c r="U327" s="49"/>
      <c r="V327" s="49"/>
      <c r="W327" s="49"/>
      <c r="AB327" s="303" t="str">
        <f>IFERROR(VLOOKUP(AB326,Dates!$B:$D,3,FALSE),"")</f>
        <v>3Q20</v>
      </c>
      <c r="AC327" s="303" t="str">
        <f>IFERROR(VLOOKUP(AC326,Dates!$B:$D,3,FALSE),"")</f>
        <v>4Q20</v>
      </c>
      <c r="AD327" s="303" t="str">
        <f>IFERROR(VLOOKUP(AD326,Dates!$B:$D,3,FALSE),"")</f>
        <v>1Q21</v>
      </c>
      <c r="AE327" s="303" t="str">
        <f>IFERROR(VLOOKUP(AE326,Dates!$B:$D,3,FALSE),"")</f>
        <v>2Q21</v>
      </c>
      <c r="AF327" s="303" t="str">
        <f>IFERROR(VLOOKUP(AF326,Dates!$B:$D,3,FALSE),"")</f>
        <v>3Q21</v>
      </c>
      <c r="AG327" s="303" t="str">
        <f>IFERROR(VLOOKUP(AG326,Dates!$B:$D,3,FALSE),"")</f>
        <v>4Q21</v>
      </c>
      <c r="AH327" s="303" t="str">
        <f>IFERROR(VLOOKUP(AH326,Dates!$B:$D,3,FALSE),"")</f>
        <v>1Q22</v>
      </c>
      <c r="AI327" s="303" t="str">
        <f>IFERROR(VLOOKUP(AI326,Dates!$B:$D,3,FALSE),"")</f>
        <v>2Q22</v>
      </c>
      <c r="AJ327" s="303" t="str">
        <f>IFERROR(VLOOKUP(AJ326,Dates!$B:$D,3,FALSE),"")</f>
        <v>3Q22</v>
      </c>
      <c r="AK327" s="303" t="str">
        <f>IFERROR(VLOOKUP(AK326,Dates!$B:$D,3,FALSE),"")</f>
        <v>4Q22</v>
      </c>
      <c r="AL327" s="303" t="str">
        <f>IFERROR(VLOOKUP(AL326,Dates!$B:$D,3,FALSE),"")</f>
        <v>1Q23</v>
      </c>
      <c r="AM327" s="303" t="str">
        <f>IFERROR(VLOOKUP(AM326,Dates!$B:$D,3,FALSE),"")</f>
        <v>2Q23</v>
      </c>
      <c r="AN327" s="303" t="str">
        <f>IFERROR(VLOOKUP(AN326,Dates!$B:$D,3,FALSE),"")</f>
        <v>3Q23</v>
      </c>
      <c r="AO327" s="303" t="str">
        <f>IFERROR(VLOOKUP(AO326,Dates!$B:$D,3,FALSE),"")</f>
        <v>4Q23</v>
      </c>
      <c r="AP327" s="303" t="str">
        <f>IFERROR(VLOOKUP(AP326,Dates!$B:$D,3,FALSE),"")</f>
        <v>1Q24</v>
      </c>
      <c r="AQ327" s="303" t="str">
        <f>IFERROR(VLOOKUP(AQ326,Dates!$B:$D,3,FALSE),"")</f>
        <v>2Q24</v>
      </c>
      <c r="AR327" s="303" t="str">
        <f>IFERROR(VLOOKUP(AR326,Dates!$B:$D,3,FALSE),"")</f>
        <v>3Q24</v>
      </c>
      <c r="AS327" s="303" t="str">
        <f>IFERROR(VLOOKUP(AS326,Dates!$B:$D,3,FALSE),"")</f>
        <v>4Q24</v>
      </c>
      <c r="AT327" s="303" t="str">
        <f>IFERROR(VLOOKUP(AT326,Dates!$B:$D,3,FALSE),"")</f>
        <v>1Q25</v>
      </c>
      <c r="AU327" s="315" t="str">
        <f>$G$3</f>
        <v>2Q25</v>
      </c>
    </row>
    <row r="328" spans="1:47">
      <c r="A328" s="49"/>
      <c r="B328" s="49"/>
      <c r="C328" s="49"/>
      <c r="D328" s="49"/>
      <c r="E328" s="49"/>
      <c r="F328" s="49"/>
      <c r="G328" s="49"/>
      <c r="H328" s="49"/>
      <c r="I328" s="49"/>
      <c r="J328" s="49"/>
      <c r="K328" s="49"/>
      <c r="L328" s="49"/>
      <c r="M328" s="49"/>
      <c r="N328" s="49"/>
      <c r="O328" s="49"/>
      <c r="P328" s="49"/>
      <c r="Q328" s="49"/>
      <c r="R328" s="49"/>
      <c r="S328" s="49"/>
      <c r="T328" s="49"/>
      <c r="U328" s="49"/>
      <c r="V328" s="49"/>
      <c r="W328" s="49"/>
      <c r="AA328" s="316" t="str">
        <f>'Other India financials'!A121</f>
        <v>'Other' Indian contribution to Group EBITDA</v>
      </c>
      <c r="AB328" s="318">
        <f>IFERROR(INDEX('Other India financials'!$A:$ABB,MATCH($AA328,'Other India financials'!$A:$A,0),MATCH(AB327,'Other India financials'!$1:$1,0)),"")</f>
        <v>0.22318733594680804</v>
      </c>
      <c r="AC328" s="318">
        <f>IFERROR(INDEX('Other India financials'!$A:$ABB,MATCH($AA328,'Other India financials'!$A:$A,0),MATCH(AC327,'Other India financials'!$1:$1,0)),"")</f>
        <v>0.20618844765944749</v>
      </c>
      <c r="AD328" s="318">
        <f>IFERROR(INDEX('Other India financials'!$A:$ABB,MATCH($AA328,'Other India financials'!$A:$A,0),MATCH(AD327,'Other India financials'!$1:$1,0)),"")</f>
        <v>0.21016648028656681</v>
      </c>
      <c r="AE328" s="318">
        <f>IFERROR(INDEX('Other India financials'!$A:$ABB,MATCH($AA328,'Other India financials'!$A:$A,0),MATCH(AE327,'Other India financials'!$1:$1,0)),"")</f>
        <v>0.19675028811761078</v>
      </c>
      <c r="AF328" s="318">
        <f>IFERROR(INDEX('Other India financials'!$A:$ABB,MATCH($AA328,'Other India financials'!$A:$A,0),MATCH(AF327,'Other India financials'!$1:$1,0)),"")</f>
        <v>0.18443771358382446</v>
      </c>
      <c r="AG328" s="318">
        <f>IFERROR(INDEX('Other India financials'!$A:$ABB,MATCH($AA328,'Other India financials'!$A:$A,0),MATCH(AG327,'Other India financials'!$1:$1,0)),"")</f>
        <v>0.18530154702204601</v>
      </c>
      <c r="AH328" s="318">
        <f>IFERROR(INDEX('Other India financials'!$A:$ABB,MATCH($AA328,'Other India financials'!$A:$A,0),MATCH(AH327,'Other India financials'!$1:$1,0)),"")</f>
        <v>0.17692358815431333</v>
      </c>
      <c r="AI328" s="318">
        <f>IFERROR(INDEX('Other India financials'!$A:$ABB,MATCH($AA328,'Other India financials'!$A:$A,0),MATCH(AI327,'Other India financials'!$1:$1,0)),"")</f>
        <v>0.17845295590574772</v>
      </c>
      <c r="AJ328" s="318">
        <f>IFERROR(INDEX('Other India financials'!$A:$ABB,MATCH($AA328,'Other India financials'!$A:$A,0),MATCH(AJ327,'Other India financials'!$1:$1,0)),"")</f>
        <v>0.17108748243028701</v>
      </c>
      <c r="AK328" s="318">
        <f>IFERROR(INDEX('Other India financials'!$A:$ABB,MATCH($AA328,'Other India financials'!$A:$A,0),MATCH(AK327,'Other India financials'!$1:$1,0)),"")</f>
        <v>0.16361999973825495</v>
      </c>
      <c r="AL328" s="318">
        <f>IFERROR(INDEX('Other India financials'!$A:$ABB,MATCH($AA328,'Other India financials'!$A:$A,0),MATCH(AL327,'Other India financials'!$1:$1,0)),"")</f>
        <v>0.16090645330295456</v>
      </c>
      <c r="AM328" s="318">
        <f>IFERROR(INDEX('Other India financials'!$A:$ABB,MATCH($AA328,'Other India financials'!$A:$A,0),MATCH(AM327,'Other India financials'!$1:$1,0)),"")</f>
        <v>0.15590440713352935</v>
      </c>
      <c r="AN328" s="318">
        <f>IFERROR(INDEX('Other India financials'!$A:$ABB,MATCH($AA328,'Other India financials'!$A:$A,0),MATCH(AN327,'Other India financials'!$1:$1,0)),"")</f>
        <v>0.15243811719112979</v>
      </c>
      <c r="AO328" s="318">
        <f>IFERROR(INDEX('Other India financials'!$A:$ABB,MATCH($AA328,'Other India financials'!$A:$A,0),MATCH(AO327,'Other India financials'!$1:$1,0)),"")</f>
        <v>0.15572977847793909</v>
      </c>
      <c r="AP328" s="318">
        <f>IFERROR(INDEX('Other India financials'!$A:$ABB,MATCH($AA328,'Other India financials'!$A:$A,0),MATCH(AP327,'Other India financials'!$1:$1,0)),"")</f>
        <v>0.15245324829882353</v>
      </c>
      <c r="AQ328" s="318">
        <f>IFERROR(INDEX('Other India financials'!$A:$ABB,MATCH($AA328,'Other India financials'!$A:$A,0),MATCH(AQ327,'Other India financials'!$1:$1,0)),"")</f>
        <v>0.15694547223313243</v>
      </c>
      <c r="AR328" s="318">
        <f>IFERROR(INDEX('Other India financials'!$A:$ABB,MATCH($AA328,'Other India financials'!$A:$A,0),MATCH(AR327,'Other India financials'!$1:$1,0)),"")</f>
        <v>0.15612308321907684</v>
      </c>
      <c r="AS328" s="318">
        <f>IFERROR(INDEX('Other India financials'!$A:$ABB,MATCH($AA328,'Other India financials'!$A:$A,0),MATCH(AS327,'Other India financials'!$1:$1,0)),"")</f>
        <v>0.16225633200330999</v>
      </c>
      <c r="AT328" s="318">
        <f>IFERROR(INDEX('Other India financials'!$A:$ABB,MATCH($AA328,'Other India financials'!$A:$A,0),MATCH(AT327,'Other India financials'!$1:$1,0)),"")</f>
        <v>0.15605539455079673</v>
      </c>
      <c r="AU328" s="318">
        <f>IFERROR(INDEX('Other India financials'!$A:$ABB,MATCH($AA328,'Other India financials'!$A:$A,0),MATCH(AU327,'Other India financials'!$1:$1,0)),"")</f>
        <v>0.14374526018464276</v>
      </c>
    </row>
    <row r="329" spans="1:47">
      <c r="A329" s="49"/>
      <c r="B329" s="49"/>
      <c r="C329" s="49"/>
      <c r="D329" s="49"/>
      <c r="E329" s="49"/>
      <c r="F329" s="49"/>
      <c r="G329" s="49"/>
      <c r="H329" s="49"/>
      <c r="I329" s="49"/>
      <c r="J329" s="49"/>
      <c r="K329" s="49"/>
      <c r="L329" s="49"/>
      <c r="M329" s="49"/>
      <c r="N329" s="49"/>
      <c r="O329" s="49"/>
      <c r="P329" s="49"/>
      <c r="Q329" s="49"/>
      <c r="R329" s="49"/>
      <c r="S329" s="49"/>
      <c r="T329" s="49"/>
      <c r="U329" s="49"/>
      <c r="V329" s="49"/>
      <c r="W329" s="49"/>
      <c r="AA329" s="316" t="str">
        <f>'Other India financials'!A122</f>
        <v>'Other' Indian contribution to Indian EBITDA</v>
      </c>
      <c r="AB329" s="318">
        <f>IFERROR(INDEX('Other India financials'!$A:$ABB,MATCH($AA329,'Other India financials'!$A:$A,0),MATCH(AB327,'Other India financials'!$1:$1,0)),"")</f>
        <v>0.22318733594680804</v>
      </c>
      <c r="AC329" s="318">
        <f>IFERROR(INDEX('Other India financials'!$A:$ABB,MATCH($AA329,'Other India financials'!$A:$A,0),MATCH(AC327,'Other India financials'!$1:$1,0)),"")</f>
        <v>0.20618844765944749</v>
      </c>
      <c r="AD329" s="318">
        <f>IFERROR(INDEX('Other India financials'!$A:$ABB,MATCH($AA329,'Other India financials'!$A:$A,0),MATCH(AD327,'Other India financials'!$1:$1,0)),"")</f>
        <v>0.21016648028656681</v>
      </c>
      <c r="AE329" s="318">
        <f>IFERROR(INDEX('Other India financials'!$A:$ABB,MATCH($AA329,'Other India financials'!$A:$A,0),MATCH(AE327,'Other India financials'!$1:$1,0)),"")</f>
        <v>0.19675028811761078</v>
      </c>
      <c r="AF329" s="318">
        <f>IFERROR(INDEX('Other India financials'!$A:$ABB,MATCH($AA329,'Other India financials'!$A:$A,0),MATCH(AF327,'Other India financials'!$1:$1,0)),"")</f>
        <v>0.18443771358382446</v>
      </c>
      <c r="AG329" s="318">
        <f>IFERROR(INDEX('Other India financials'!$A:$ABB,MATCH($AA329,'Other India financials'!$A:$A,0),MATCH(AG327,'Other India financials'!$1:$1,0)),"")</f>
        <v>0.18530154702204601</v>
      </c>
      <c r="AH329" s="318">
        <f>IFERROR(INDEX('Other India financials'!$A:$ABB,MATCH($AA329,'Other India financials'!$A:$A,0),MATCH(AH327,'Other India financials'!$1:$1,0)),"")</f>
        <v>0.17692358815431333</v>
      </c>
      <c r="AI329" s="318">
        <f>IFERROR(INDEX('Other India financials'!$A:$ABB,MATCH($AA329,'Other India financials'!$A:$A,0),MATCH(AI327,'Other India financials'!$1:$1,0)),"")</f>
        <v>0.17845295590574772</v>
      </c>
      <c r="AJ329" s="318">
        <f>IFERROR(INDEX('Other India financials'!$A:$ABB,MATCH($AA329,'Other India financials'!$A:$A,0),MATCH(AJ327,'Other India financials'!$1:$1,0)),"")</f>
        <v>0.17108748243028701</v>
      </c>
      <c r="AK329" s="318">
        <f>IFERROR(INDEX('Other India financials'!$A:$ABB,MATCH($AA329,'Other India financials'!$A:$A,0),MATCH(AK327,'Other India financials'!$1:$1,0)),"")</f>
        <v>0.16361999973825495</v>
      </c>
      <c r="AL329" s="318">
        <f>IFERROR(INDEX('Other India financials'!$A:$ABB,MATCH($AA329,'Other India financials'!$A:$A,0),MATCH(AL327,'Other India financials'!$1:$1,0)),"")</f>
        <v>0.16090645330295456</v>
      </c>
      <c r="AM329" s="318">
        <f>IFERROR(INDEX('Other India financials'!$A:$ABB,MATCH($AA329,'Other India financials'!$A:$A,0),MATCH(AM327,'Other India financials'!$1:$1,0)),"")</f>
        <v>0.15590440713352935</v>
      </c>
      <c r="AN329" s="318">
        <f>IFERROR(INDEX('Other India financials'!$A:$ABB,MATCH($AA329,'Other India financials'!$A:$A,0),MATCH(AN327,'Other India financials'!$1:$1,0)),"")</f>
        <v>0.15243811719112979</v>
      </c>
      <c r="AO329" s="318">
        <f>IFERROR(INDEX('Other India financials'!$A:$ABB,MATCH($AA329,'Other India financials'!$A:$A,0),MATCH(AO327,'Other India financials'!$1:$1,0)),"")</f>
        <v>0.15572977847793909</v>
      </c>
      <c r="AP329" s="318">
        <f>IFERROR(INDEX('Other India financials'!$A:$ABB,MATCH($AA329,'Other India financials'!$A:$A,0),MATCH(AP327,'Other India financials'!$1:$1,0)),"")</f>
        <v>0.15245324829882353</v>
      </c>
      <c r="AQ329" s="318">
        <f>IFERROR(INDEX('Other India financials'!$A:$ABB,MATCH($AA329,'Other India financials'!$A:$A,0),MATCH(AQ327,'Other India financials'!$1:$1,0)),"")</f>
        <v>0.15694547223313243</v>
      </c>
      <c r="AR329" s="318">
        <f>IFERROR(INDEX('Other India financials'!$A:$ABB,MATCH($AA329,'Other India financials'!$A:$A,0),MATCH(AR327,'Other India financials'!$1:$1,0)),"")</f>
        <v>0.15612308321907684</v>
      </c>
      <c r="AS329" s="318">
        <f>IFERROR(INDEX('Other India financials'!$A:$ABB,MATCH($AA329,'Other India financials'!$A:$A,0),MATCH(AS327,'Other India financials'!$1:$1,0)),"")</f>
        <v>0.16225633200330999</v>
      </c>
      <c r="AT329" s="318">
        <f>IFERROR(INDEX('Other India financials'!$A:$ABB,MATCH($AA329,'Other India financials'!$A:$A,0),MATCH(AT327,'Other India financials'!$1:$1,0)),"")</f>
        <v>0.15605539455079673</v>
      </c>
      <c r="AU329" s="318">
        <f>IFERROR(INDEX('Other India financials'!$A:$ABB,MATCH($AA329,'Other India financials'!$A:$A,0),MATCH(AU327,'Other India financials'!$1:$1,0)),"")</f>
        <v>0.14374526018464276</v>
      </c>
    </row>
    <row r="330" spans="1:47">
      <c r="A330" s="49"/>
      <c r="B330" s="49"/>
      <c r="C330" s="49"/>
      <c r="D330" s="49"/>
      <c r="E330" s="49"/>
      <c r="F330" s="49"/>
      <c r="G330" s="49"/>
      <c r="H330" s="49"/>
      <c r="I330" s="49"/>
      <c r="J330" s="49"/>
      <c r="K330" s="49"/>
      <c r="L330" s="49"/>
      <c r="M330" s="49"/>
      <c r="N330" s="49"/>
      <c r="O330" s="49"/>
      <c r="P330" s="49"/>
      <c r="Q330" s="49"/>
      <c r="R330" s="49"/>
      <c r="S330" s="49"/>
      <c r="T330" s="49"/>
      <c r="U330" s="49"/>
      <c r="V330" s="49"/>
      <c r="W330" s="49"/>
    </row>
    <row r="331" spans="1:47">
      <c r="A331" s="49"/>
      <c r="B331" s="49"/>
      <c r="C331" s="49"/>
      <c r="D331" s="49"/>
      <c r="E331" s="49"/>
      <c r="F331" s="49"/>
      <c r="G331" s="49"/>
      <c r="H331" s="49"/>
      <c r="I331" s="49"/>
      <c r="J331" s="49"/>
      <c r="K331" s="49"/>
      <c r="L331" s="49"/>
      <c r="M331" s="49"/>
      <c r="N331" s="49"/>
      <c r="O331" s="49"/>
      <c r="P331" s="49"/>
      <c r="Q331" s="49"/>
      <c r="R331" s="49"/>
      <c r="S331" s="49"/>
      <c r="T331" s="49"/>
      <c r="U331" s="49"/>
      <c r="V331" s="49"/>
      <c r="W331" s="49"/>
    </row>
    <row r="332" spans="1:47">
      <c r="A332" s="49"/>
      <c r="B332" s="49"/>
      <c r="C332" s="49"/>
      <c r="D332" s="49"/>
      <c r="E332" s="49"/>
      <c r="F332" s="49"/>
      <c r="G332" s="49"/>
      <c r="H332" s="49"/>
      <c r="I332" s="49"/>
      <c r="J332" s="49"/>
      <c r="K332" s="49"/>
      <c r="L332" s="49"/>
      <c r="M332" s="49"/>
      <c r="N332" s="49"/>
      <c r="O332" s="49"/>
      <c r="P332" s="49"/>
      <c r="Q332" s="49"/>
      <c r="R332" s="49"/>
      <c r="S332" s="49"/>
      <c r="T332" s="49"/>
      <c r="U332" s="49"/>
      <c r="V332" s="49"/>
      <c r="W332" s="49"/>
    </row>
    <row r="333" spans="1:47">
      <c r="A333" s="49"/>
      <c r="B333" s="49"/>
      <c r="C333" s="49"/>
      <c r="D333" s="49"/>
      <c r="E333" s="49"/>
      <c r="F333" s="49"/>
      <c r="G333" s="49"/>
      <c r="H333" s="49"/>
      <c r="I333" s="49"/>
      <c r="J333" s="49"/>
      <c r="K333" s="49"/>
      <c r="L333" s="49"/>
      <c r="M333" s="49"/>
      <c r="N333" s="49"/>
      <c r="O333" s="49"/>
      <c r="P333" s="49"/>
      <c r="Q333" s="49"/>
      <c r="R333" s="49"/>
      <c r="S333" s="49"/>
      <c r="T333" s="49"/>
      <c r="U333" s="49"/>
      <c r="V333" s="49"/>
      <c r="W333" s="49"/>
    </row>
    <row r="334" spans="1:47">
      <c r="A334" s="49"/>
      <c r="B334" s="49"/>
      <c r="C334" s="49"/>
      <c r="D334" s="49"/>
      <c r="E334" s="49"/>
      <c r="F334" s="49"/>
      <c r="G334" s="49"/>
      <c r="H334" s="49"/>
      <c r="I334" s="49"/>
      <c r="J334" s="49"/>
      <c r="K334" s="49"/>
      <c r="L334" s="49"/>
      <c r="M334" s="49"/>
      <c r="N334" s="49"/>
      <c r="O334" s="49"/>
      <c r="P334" s="49"/>
      <c r="Q334" s="49"/>
      <c r="R334" s="49"/>
      <c r="S334" s="49"/>
      <c r="T334" s="49"/>
      <c r="U334" s="49"/>
      <c r="V334" s="49"/>
      <c r="W334" s="49"/>
    </row>
    <row r="335" spans="1:47">
      <c r="A335" s="49"/>
      <c r="B335" s="49"/>
      <c r="C335" s="49"/>
      <c r="D335" s="49"/>
      <c r="E335" s="49"/>
      <c r="F335" s="49"/>
      <c r="G335" s="49"/>
      <c r="H335" s="49"/>
      <c r="I335" s="49"/>
      <c r="J335" s="49"/>
      <c r="K335" s="49"/>
      <c r="L335" s="49"/>
      <c r="M335" s="49"/>
      <c r="N335" s="49"/>
      <c r="O335" s="49"/>
      <c r="P335" s="49"/>
      <c r="Q335" s="49"/>
      <c r="R335" s="49"/>
      <c r="S335" s="49"/>
      <c r="T335" s="49"/>
      <c r="U335" s="49"/>
      <c r="V335" s="49"/>
      <c r="W335" s="49"/>
    </row>
    <row r="336" spans="1:47">
      <c r="A336" s="49"/>
      <c r="B336" s="49"/>
      <c r="C336" s="49"/>
      <c r="D336" s="49"/>
      <c r="E336" s="49"/>
      <c r="F336" s="49"/>
      <c r="G336" s="49"/>
      <c r="H336" s="49"/>
      <c r="I336" s="49"/>
      <c r="J336" s="49"/>
      <c r="K336" s="49"/>
      <c r="L336" s="49"/>
      <c r="M336" s="49"/>
      <c r="N336" s="49"/>
      <c r="O336" s="49"/>
      <c r="P336" s="49"/>
      <c r="Q336" s="49"/>
      <c r="R336" s="49"/>
      <c r="S336" s="49"/>
      <c r="T336" s="49"/>
      <c r="U336" s="49"/>
      <c r="V336" s="49"/>
      <c r="W336" s="49"/>
    </row>
    <row r="337" spans="1:47">
      <c r="A337" s="49"/>
      <c r="B337" s="49"/>
      <c r="C337" s="49"/>
      <c r="D337" s="49"/>
      <c r="E337" s="49"/>
      <c r="F337" s="49"/>
      <c r="G337" s="49"/>
      <c r="H337" s="49"/>
      <c r="I337" s="49"/>
      <c r="J337" s="49"/>
      <c r="K337" s="49"/>
      <c r="L337" s="49"/>
      <c r="M337" s="49"/>
      <c r="N337" s="49"/>
      <c r="O337" s="49"/>
      <c r="P337" s="49"/>
      <c r="Q337" s="49"/>
      <c r="R337" s="49"/>
      <c r="S337" s="49"/>
      <c r="T337" s="49"/>
      <c r="U337" s="49"/>
      <c r="V337" s="49"/>
      <c r="W337" s="49"/>
    </row>
    <row r="338" spans="1:47">
      <c r="A338" s="49"/>
      <c r="B338" s="49"/>
      <c r="C338" s="49"/>
      <c r="D338" s="49"/>
      <c r="E338" s="49"/>
      <c r="F338" s="49"/>
      <c r="G338" s="49"/>
      <c r="H338" s="49"/>
      <c r="I338" s="49"/>
      <c r="J338" s="49"/>
      <c r="K338" s="49"/>
      <c r="L338" s="49"/>
      <c r="M338" s="49"/>
      <c r="N338" s="49"/>
      <c r="O338" s="49"/>
      <c r="P338" s="49"/>
      <c r="Q338" s="49"/>
      <c r="R338" s="49"/>
      <c r="S338" s="49"/>
      <c r="T338" s="49"/>
      <c r="U338" s="49"/>
      <c r="V338" s="49"/>
      <c r="W338" s="49"/>
    </row>
    <row r="339" spans="1:47">
      <c r="A339" s="49"/>
      <c r="B339" s="49"/>
      <c r="C339" s="49"/>
      <c r="D339" s="49"/>
      <c r="E339" s="49"/>
      <c r="F339" s="49"/>
      <c r="G339" s="49"/>
      <c r="H339" s="49"/>
      <c r="I339" s="49"/>
      <c r="J339" s="49"/>
      <c r="K339" s="49"/>
      <c r="L339" s="49"/>
      <c r="M339" s="49"/>
      <c r="N339" s="49"/>
      <c r="O339" s="49"/>
      <c r="P339" s="49"/>
      <c r="Q339" s="49"/>
      <c r="R339" s="49"/>
      <c r="S339" s="49"/>
      <c r="T339" s="49"/>
      <c r="U339" s="49"/>
      <c r="V339" s="49"/>
      <c r="W339" s="49"/>
    </row>
    <row r="340" spans="1:47">
      <c r="A340" s="49"/>
      <c r="B340" s="49"/>
      <c r="C340" s="49"/>
      <c r="D340" s="49"/>
      <c r="E340" s="49"/>
      <c r="F340" s="49"/>
      <c r="G340" s="49"/>
      <c r="H340" s="49"/>
      <c r="I340" s="49"/>
      <c r="J340" s="49"/>
      <c r="K340" s="49"/>
      <c r="L340" s="49"/>
      <c r="M340" s="49"/>
      <c r="N340" s="49"/>
      <c r="O340" s="49"/>
      <c r="P340" s="49"/>
      <c r="Q340" s="49"/>
      <c r="R340" s="49"/>
      <c r="S340" s="49"/>
      <c r="T340" s="49"/>
      <c r="U340" s="49"/>
      <c r="V340" s="49"/>
      <c r="W340" s="49"/>
    </row>
    <row r="341" spans="1:47">
      <c r="A341" s="49"/>
      <c r="B341" s="49"/>
      <c r="C341" s="49"/>
      <c r="D341" s="49"/>
      <c r="E341" s="49"/>
      <c r="F341" s="49"/>
      <c r="G341" s="49"/>
      <c r="H341" s="49"/>
      <c r="I341" s="49"/>
      <c r="J341" s="49"/>
      <c r="K341" s="49"/>
      <c r="L341" s="49"/>
      <c r="M341" s="49"/>
      <c r="N341" s="49"/>
      <c r="O341" s="49"/>
      <c r="P341" s="49"/>
      <c r="Q341" s="49"/>
      <c r="R341" s="49"/>
      <c r="S341" s="49"/>
      <c r="T341" s="49"/>
      <c r="U341" s="49"/>
      <c r="V341" s="49"/>
      <c r="W341" s="49"/>
    </row>
    <row r="342" spans="1:47">
      <c r="A342" s="1" t="s">
        <v>450</v>
      </c>
      <c r="B342" s="1" t="s">
        <v>555</v>
      </c>
      <c r="C342" s="1"/>
      <c r="D342" s="1"/>
      <c r="E342" s="1"/>
      <c r="F342" s="1"/>
      <c r="G342" s="1"/>
      <c r="H342" s="1"/>
      <c r="I342" s="1"/>
      <c r="J342" s="1"/>
      <c r="K342" s="1"/>
      <c r="L342" s="1"/>
      <c r="M342" s="1"/>
      <c r="N342" s="1"/>
      <c r="O342" s="1"/>
      <c r="P342" s="1"/>
      <c r="Q342" s="1"/>
      <c r="R342" s="1"/>
      <c r="S342" s="1"/>
      <c r="T342" s="1"/>
      <c r="U342" s="49"/>
      <c r="V342" s="49"/>
      <c r="W342" s="49"/>
    </row>
    <row r="343" spans="1:47">
      <c r="A343" s="49"/>
      <c r="B343" s="49"/>
      <c r="C343" s="49"/>
      <c r="D343" s="49"/>
      <c r="E343" s="49"/>
      <c r="F343" s="49"/>
      <c r="G343" s="49"/>
      <c r="H343" s="49"/>
      <c r="I343" s="49"/>
      <c r="J343" s="49"/>
      <c r="K343" s="49"/>
      <c r="L343" s="49"/>
      <c r="M343" s="49"/>
      <c r="N343" s="49"/>
      <c r="O343" s="49"/>
      <c r="P343" s="49"/>
      <c r="Q343" s="49"/>
      <c r="R343" s="49"/>
      <c r="S343" s="49"/>
      <c r="T343" s="49"/>
      <c r="U343" s="49"/>
      <c r="V343" s="49"/>
      <c r="W343" s="49"/>
    </row>
    <row r="344" spans="1:47">
      <c r="A344" s="49"/>
      <c r="B344" s="49"/>
      <c r="C344" s="49"/>
      <c r="D344" s="49"/>
      <c r="E344" s="49"/>
      <c r="F344" s="49"/>
      <c r="G344" s="49"/>
      <c r="H344" s="49"/>
      <c r="I344" s="49"/>
      <c r="J344" s="49"/>
      <c r="K344" s="49"/>
      <c r="L344" s="49"/>
      <c r="M344" s="49"/>
      <c r="N344" s="49"/>
      <c r="O344" s="49"/>
      <c r="P344" s="49"/>
      <c r="Q344" s="49"/>
      <c r="R344" s="49"/>
      <c r="S344" s="49"/>
      <c r="T344" s="49"/>
      <c r="U344" s="49"/>
      <c r="V344" s="49"/>
      <c r="W344" s="49"/>
    </row>
    <row r="345" spans="1:47">
      <c r="A345" s="49"/>
      <c r="B345" s="49"/>
      <c r="C345" s="49"/>
      <c r="D345" s="49"/>
      <c r="E345" s="49"/>
      <c r="F345" s="49"/>
      <c r="G345" s="49"/>
      <c r="H345" s="49"/>
      <c r="I345" s="49"/>
      <c r="J345" s="49"/>
      <c r="K345" s="49"/>
      <c r="L345" s="49"/>
      <c r="M345" s="49"/>
      <c r="N345" s="49"/>
      <c r="O345" s="49"/>
      <c r="P345" s="49"/>
      <c r="Q345" s="49"/>
      <c r="R345" s="49"/>
      <c r="S345" s="49"/>
      <c r="T345" s="49"/>
      <c r="U345" s="49"/>
      <c r="V345" s="49"/>
      <c r="W345" s="49"/>
    </row>
    <row r="346" spans="1:47">
      <c r="A346" s="49"/>
      <c r="B346" s="49"/>
      <c r="C346" s="49"/>
      <c r="D346" s="49"/>
      <c r="E346" s="49"/>
      <c r="F346" s="49"/>
      <c r="G346" s="49"/>
      <c r="H346" s="49"/>
      <c r="I346" s="49"/>
      <c r="J346" s="49"/>
      <c r="K346" s="49"/>
      <c r="L346" s="49"/>
      <c r="M346" s="49"/>
      <c r="N346" s="49"/>
      <c r="O346" s="49"/>
      <c r="P346" s="49"/>
      <c r="Q346" s="49"/>
      <c r="R346" s="49"/>
      <c r="S346" s="49"/>
      <c r="T346" s="49"/>
      <c r="U346" s="49"/>
      <c r="V346" s="49"/>
      <c r="W346" s="49"/>
      <c r="AB346" s="303">
        <f t="shared" ref="AB346" si="533">AC346-1</f>
        <v>35</v>
      </c>
      <c r="AC346" s="303">
        <f t="shared" ref="AC346" si="534">AD346-1</f>
        <v>36</v>
      </c>
      <c r="AD346" s="303">
        <f t="shared" ref="AD346" si="535">AE346-1</f>
        <v>37</v>
      </c>
      <c r="AE346" s="303">
        <f t="shared" ref="AE346" si="536">AF346-1</f>
        <v>38</v>
      </c>
      <c r="AF346" s="303">
        <f t="shared" ref="AF346" si="537">AG346-1</f>
        <v>39</v>
      </c>
      <c r="AG346" s="303">
        <f t="shared" ref="AG346" si="538">AH346-1</f>
        <v>40</v>
      </c>
      <c r="AH346" s="303">
        <f t="shared" ref="AH346" si="539">AI346-1</f>
        <v>41</v>
      </c>
      <c r="AI346" s="303">
        <f t="shared" ref="AI346" si="540">AJ346-1</f>
        <v>42</v>
      </c>
      <c r="AJ346" s="303">
        <f t="shared" ref="AJ346" si="541">AK346-1</f>
        <v>43</v>
      </c>
      <c r="AK346" s="303">
        <f t="shared" ref="AK346" si="542">AL346-1</f>
        <v>44</v>
      </c>
      <c r="AL346" s="303">
        <f t="shared" ref="AL346" si="543">AM346-1</f>
        <v>45</v>
      </c>
      <c r="AM346" s="303">
        <f t="shared" ref="AM346" si="544">AN346-1</f>
        <v>46</v>
      </c>
      <c r="AN346" s="303">
        <f t="shared" ref="AN346" si="545">AO346-1</f>
        <v>47</v>
      </c>
      <c r="AO346" s="303">
        <f t="shared" ref="AO346" si="546">AP346-1</f>
        <v>48</v>
      </c>
      <c r="AP346" s="303">
        <f t="shared" ref="AP346" si="547">AQ346-1</f>
        <v>49</v>
      </c>
      <c r="AQ346" s="303">
        <f t="shared" ref="AQ346" si="548">AR346-1</f>
        <v>50</v>
      </c>
      <c r="AR346" s="303">
        <f t="shared" ref="AR346" si="549">AS346-1</f>
        <v>51</v>
      </c>
      <c r="AS346" s="303">
        <f t="shared" ref="AS346" si="550">AT346-1</f>
        <v>52</v>
      </c>
      <c r="AT346" s="303">
        <f t="shared" ref="AT346" si="551">AU346-1</f>
        <v>53</v>
      </c>
      <c r="AU346" s="303">
        <f>VLOOKUP(AU347,Dates!$A:$D,2,FALSE)</f>
        <v>54</v>
      </c>
    </row>
    <row r="347" spans="1:47">
      <c r="A347" s="49"/>
      <c r="B347" s="49"/>
      <c r="C347" s="49"/>
      <c r="D347" s="49"/>
      <c r="E347" s="49"/>
      <c r="F347" s="49"/>
      <c r="G347" s="49"/>
      <c r="H347" s="49"/>
      <c r="I347" s="49"/>
      <c r="J347" s="49"/>
      <c r="K347" s="49"/>
      <c r="L347" s="49"/>
      <c r="M347" s="49"/>
      <c r="N347" s="49"/>
      <c r="O347" s="49"/>
      <c r="P347" s="49"/>
      <c r="Q347" s="49"/>
      <c r="R347" s="49"/>
      <c r="S347" s="49"/>
      <c r="T347" s="49"/>
      <c r="U347" s="49"/>
      <c r="V347" s="49"/>
      <c r="W347" s="49"/>
      <c r="AB347" s="303" t="str">
        <f>IFERROR(VLOOKUP(AB346,Dates!$B:$D,3,FALSE),"")</f>
        <v>3Q20</v>
      </c>
      <c r="AC347" s="303" t="str">
        <f>IFERROR(VLOOKUP(AC346,Dates!$B:$D,3,FALSE),"")</f>
        <v>4Q20</v>
      </c>
      <c r="AD347" s="303" t="str">
        <f>IFERROR(VLOOKUP(AD346,Dates!$B:$D,3,FALSE),"")</f>
        <v>1Q21</v>
      </c>
      <c r="AE347" s="303" t="str">
        <f>IFERROR(VLOOKUP(AE346,Dates!$B:$D,3,FALSE),"")</f>
        <v>2Q21</v>
      </c>
      <c r="AF347" s="303" t="str">
        <f>IFERROR(VLOOKUP(AF346,Dates!$B:$D,3,FALSE),"")</f>
        <v>3Q21</v>
      </c>
      <c r="AG347" s="303" t="str">
        <f>IFERROR(VLOOKUP(AG346,Dates!$B:$D,3,FALSE),"")</f>
        <v>4Q21</v>
      </c>
      <c r="AH347" s="303" t="str">
        <f>IFERROR(VLOOKUP(AH346,Dates!$B:$D,3,FALSE),"")</f>
        <v>1Q22</v>
      </c>
      <c r="AI347" s="303" t="str">
        <f>IFERROR(VLOOKUP(AI346,Dates!$B:$D,3,FALSE),"")</f>
        <v>2Q22</v>
      </c>
      <c r="AJ347" s="303" t="str">
        <f>IFERROR(VLOOKUP(AJ346,Dates!$B:$D,3,FALSE),"")</f>
        <v>3Q22</v>
      </c>
      <c r="AK347" s="303" t="str">
        <f>IFERROR(VLOOKUP(AK346,Dates!$B:$D,3,FALSE),"")</f>
        <v>4Q22</v>
      </c>
      <c r="AL347" s="303" t="str">
        <f>IFERROR(VLOOKUP(AL346,Dates!$B:$D,3,FALSE),"")</f>
        <v>1Q23</v>
      </c>
      <c r="AM347" s="303" t="str">
        <f>IFERROR(VLOOKUP(AM346,Dates!$B:$D,3,FALSE),"")</f>
        <v>2Q23</v>
      </c>
      <c r="AN347" s="303" t="str">
        <f>IFERROR(VLOOKUP(AN346,Dates!$B:$D,3,FALSE),"")</f>
        <v>3Q23</v>
      </c>
      <c r="AO347" s="303" t="str">
        <f>IFERROR(VLOOKUP(AO346,Dates!$B:$D,3,FALSE),"")</f>
        <v>4Q23</v>
      </c>
      <c r="AP347" s="303" t="str">
        <f>IFERROR(VLOOKUP(AP346,Dates!$B:$D,3,FALSE),"")</f>
        <v>1Q24</v>
      </c>
      <c r="AQ347" s="303" t="str">
        <f>IFERROR(VLOOKUP(AQ346,Dates!$B:$D,3,FALSE),"")</f>
        <v>2Q24</v>
      </c>
      <c r="AR347" s="303" t="str">
        <f>IFERROR(VLOOKUP(AR346,Dates!$B:$D,3,FALSE),"")</f>
        <v>3Q24</v>
      </c>
      <c r="AS347" s="303" t="str">
        <f>IFERROR(VLOOKUP(AS346,Dates!$B:$D,3,FALSE),"")</f>
        <v>4Q24</v>
      </c>
      <c r="AT347" s="303" t="str">
        <f>IFERROR(VLOOKUP(AT346,Dates!$B:$D,3,FALSE),"")</f>
        <v>1Q25</v>
      </c>
      <c r="AU347" s="315" t="str">
        <f>$G$3</f>
        <v>2Q25</v>
      </c>
    </row>
    <row r="348" spans="1:47">
      <c r="A348" s="49"/>
      <c r="B348" s="49"/>
      <c r="C348" s="49"/>
      <c r="D348" s="49"/>
      <c r="E348" s="49"/>
      <c r="F348" s="49"/>
      <c r="G348" s="49"/>
      <c r="H348" s="49"/>
      <c r="I348" s="49"/>
      <c r="J348" s="49"/>
      <c r="K348" s="49"/>
      <c r="L348" s="49"/>
      <c r="M348" s="49"/>
      <c r="N348" s="49"/>
      <c r="O348" s="49"/>
      <c r="P348" s="49"/>
      <c r="Q348" s="49"/>
      <c r="R348" s="49"/>
      <c r="S348" s="49"/>
      <c r="T348" s="49"/>
      <c r="U348" s="49"/>
      <c r="V348" s="49"/>
      <c r="W348" s="49"/>
      <c r="AA348" s="316" t="str">
        <f>'Other India Operations'!A51</f>
        <v>Implied voice Revenues</v>
      </c>
      <c r="AB348" s="317">
        <f>IFERROR(INDEX('Other India Operations'!$A:$ABB,MATCH($AA348,'Other India Operations'!$A:$A,0),MATCH(AB347,'Other India Operations'!$1:$1,0)),"")</f>
        <v>352.37886954051913</v>
      </c>
      <c r="AC348" s="317">
        <f>IFERROR(INDEX('Other India Operations'!$A:$ABB,MATCH($AA348,'Other India Operations'!$A:$A,0),MATCH(AC347,'Other India Operations'!$1:$1,0)),"")</f>
        <v>352.2841936017054</v>
      </c>
      <c r="AD348" s="317">
        <f>IFERROR(INDEX('Other India Operations'!$A:$ABB,MATCH($AA348,'Other India Operations'!$A:$A,0),MATCH(AD347,'Other India Operations'!$1:$1,0)),"")</f>
        <v>344.43767997401858</v>
      </c>
      <c r="AE348" s="317">
        <f>IFERROR(INDEX('Other India Operations'!$A:$ABB,MATCH($AA348,'Other India Operations'!$A:$A,0),MATCH(AE347,'Other India Operations'!$1:$1,0)),"")</f>
        <v>337.91663020023208</v>
      </c>
      <c r="AF348" s="317">
        <f>IFERROR(INDEX('Other India Operations'!$A:$ABB,MATCH($AA348,'Other India Operations'!$A:$A,0),MATCH(AF347,'Other India Operations'!$1:$1,0)),"")</f>
        <v>315.08295449185329</v>
      </c>
      <c r="AG348" s="317">
        <f>IFERROR(INDEX('Other India Operations'!$A:$ABB,MATCH($AA348,'Other India Operations'!$A:$A,0),MATCH(AG347,'Other India Operations'!$1:$1,0)),"")</f>
        <v>321.68560771926957</v>
      </c>
      <c r="AH348" s="317">
        <f>IFERROR(INDEX('Other India Operations'!$A:$ABB,MATCH($AA348,'Other India Operations'!$A:$A,0),MATCH(AH347,'Other India Operations'!$1:$1,0)),"")</f>
        <v>336.64626376592634</v>
      </c>
      <c r="AI348" s="317">
        <f>IFERROR(INDEX('Other India Operations'!$A:$ABB,MATCH($AA348,'Other India Operations'!$A:$A,0),MATCH(AI347,'Other India Operations'!$1:$1,0)),"")</f>
        <v>353.02293269106258</v>
      </c>
      <c r="AJ348" s="317">
        <f>IFERROR(INDEX('Other India Operations'!$A:$ABB,MATCH($AA348,'Other India Operations'!$A:$A,0),MATCH(AJ347,'Other India Operations'!$1:$1,0)),"")</f>
        <v>378.7794745344803</v>
      </c>
      <c r="AK348" s="317">
        <f>IFERROR(INDEX('Other India Operations'!$A:$ABB,MATCH($AA348,'Other India Operations'!$A:$A,0),MATCH(AK347,'Other India Operations'!$1:$1,0)),"")</f>
        <v>398.96430659512163</v>
      </c>
      <c r="AL348" s="317">
        <f>IFERROR(INDEX('Other India Operations'!$A:$ABB,MATCH($AA348,'Other India Operations'!$A:$A,0),MATCH(AL347,'Other India Operations'!$1:$1,0)),"")</f>
        <v>403.31695594539366</v>
      </c>
      <c r="AM348" s="317">
        <f>IFERROR(INDEX('Other India Operations'!$A:$ABB,MATCH($AA348,'Other India Operations'!$A:$A,0),MATCH(AM347,'Other India Operations'!$1:$1,0)),"")</f>
        <v>411.11252582821714</v>
      </c>
      <c r="AN348" s="317">
        <f>IFERROR(INDEX('Other India Operations'!$A:$ABB,MATCH($AA348,'Other India Operations'!$A:$A,0),MATCH(AN347,'Other India Operations'!$1:$1,0)),"")</f>
        <v>408.89751898771448</v>
      </c>
      <c r="AO348" s="317">
        <f>IFERROR(INDEX('Other India Operations'!$A:$ABB,MATCH($AA348,'Other India Operations'!$A:$A,0),MATCH(AO347,'Other India Operations'!$1:$1,0)),"")</f>
        <v>411.58730758871945</v>
      </c>
      <c r="AP348" s="317">
        <f>IFERROR(INDEX('Other India Operations'!$A:$ABB,MATCH($AA348,'Other India Operations'!$A:$A,0),MATCH(AP347,'Other India Operations'!$1:$1,0)),"")</f>
        <v>412.92813793654517</v>
      </c>
      <c r="AQ348" s="317">
        <f>IFERROR(INDEX('Other India Operations'!$A:$ABB,MATCH($AA348,'Other India Operations'!$A:$A,0),MATCH(AQ347,'Other India Operations'!$1:$1,0)),"")</f>
        <v>409.35413380853373</v>
      </c>
      <c r="AR348" s="317">
        <f>IFERROR(INDEX('Other India Operations'!$A:$ABB,MATCH($AA348,'Other India Operations'!$A:$A,0),MATCH(AR347,'Other India Operations'!$1:$1,0)),"")</f>
        <v>401.04256986185584</v>
      </c>
      <c r="AS348" s="317">
        <f>IFERROR(INDEX('Other India Operations'!$A:$ABB,MATCH($AA348,'Other India Operations'!$A:$A,0),MATCH(AS347,'Other India Operations'!$1:$1,0)),"")</f>
        <v>388.5091065251957</v>
      </c>
      <c r="AT348" s="317">
        <f>IFERROR(INDEX('Other India Operations'!$A:$ABB,MATCH($AA348,'Other India Operations'!$A:$A,0),MATCH(AT347,'Other India Operations'!$1:$1,0)),"")</f>
        <v>376.37849163558633</v>
      </c>
      <c r="AU348" s="317">
        <f>IFERROR(INDEX('Other India Operations'!$A:$ABB,MATCH($AA348,'Other India Operations'!$A:$A,0),MATCH(AU347,'Other India Operations'!$1:$1,0)),"")</f>
        <v>365.66058805510107</v>
      </c>
    </row>
    <row r="349" spans="1:47">
      <c r="A349" s="49"/>
      <c r="B349" s="49"/>
      <c r="C349" s="49"/>
      <c r="D349" s="49"/>
      <c r="E349" s="49"/>
      <c r="F349" s="49"/>
      <c r="G349" s="49"/>
      <c r="H349" s="49"/>
      <c r="I349" s="49"/>
      <c r="J349" s="49"/>
      <c r="K349" s="49"/>
      <c r="L349" s="49"/>
      <c r="M349" s="49"/>
      <c r="N349" s="49"/>
      <c r="O349" s="49"/>
      <c r="P349" s="49"/>
      <c r="Q349" s="49"/>
      <c r="R349" s="49"/>
      <c r="S349" s="49"/>
      <c r="T349" s="49"/>
      <c r="U349" s="49"/>
      <c r="V349" s="49"/>
      <c r="W349" s="49"/>
      <c r="AA349" s="316" t="str">
        <f>'Other India Operations'!A52</f>
        <v>Implied Data Revenues</v>
      </c>
      <c r="AB349" s="317">
        <f>IFERROR(INDEX('Other India Operations'!$A:$ABB,MATCH($AA349,'Other India Operations'!$A:$A,0),MATCH(AB347,'Other India Operations'!$1:$1,0)),"")</f>
        <v>5193.9970804594832</v>
      </c>
      <c r="AC349" s="317">
        <f>IFERROR(INDEX('Other India Operations'!$A:$ABB,MATCH($AA349,'Other India Operations'!$A:$A,0),MATCH(AC347,'Other India Operations'!$1:$1,0)),"")</f>
        <v>5372.8258473982951</v>
      </c>
      <c r="AD349" s="317">
        <f>IFERROR(INDEX('Other India Operations'!$A:$ABB,MATCH($AA349,'Other India Operations'!$A:$A,0),MATCH(AD347,'Other India Operations'!$1:$1,0)),"")</f>
        <v>5441.2051060259819</v>
      </c>
      <c r="AE349" s="317">
        <f>IFERROR(INDEX('Other India Operations'!$A:$ABB,MATCH($AA349,'Other India Operations'!$A:$A,0),MATCH(AE347,'Other India Operations'!$1:$1,0)),"")</f>
        <v>5535.5056997997672</v>
      </c>
      <c r="AF349" s="317">
        <f>IFERROR(INDEX('Other India Operations'!$A:$ABB,MATCH($AA349,'Other India Operations'!$A:$A,0),MATCH(AF347,'Other India Operations'!$1:$1,0)),"")</f>
        <v>5358.6959875081457</v>
      </c>
      <c r="AG349" s="317">
        <f>IFERROR(INDEX('Other India Operations'!$A:$ABB,MATCH($AA349,'Other India Operations'!$A:$A,0),MATCH(AG347,'Other India Operations'!$1:$1,0)),"")</f>
        <v>5687.4033802807317</v>
      </c>
      <c r="AH349" s="317">
        <f>IFERROR(INDEX('Other India Operations'!$A:$ABB,MATCH($AA349,'Other India Operations'!$A:$A,0),MATCH(AH347,'Other India Operations'!$1:$1,0)),"")</f>
        <v>6195.9663462340741</v>
      </c>
      <c r="AI349" s="317">
        <f>IFERROR(INDEX('Other India Operations'!$A:$ABB,MATCH($AA349,'Other India Operations'!$A:$A,0),MATCH(AI347,'Other India Operations'!$1:$1,0)),"")</f>
        <v>6773.977067308937</v>
      </c>
      <c r="AJ349" s="317">
        <f>IFERROR(INDEX('Other India Operations'!$A:$ABB,MATCH($AA349,'Other India Operations'!$A:$A,0),MATCH(AJ347,'Other India Operations'!$1:$1,0)),"")</f>
        <v>7589.9598474655177</v>
      </c>
      <c r="AK349" s="317">
        <f>IFERROR(INDEX('Other India Operations'!$A:$ABB,MATCH($AA349,'Other India Operations'!$A:$A,0),MATCH(AK347,'Other India Operations'!$1:$1,0)),"")</f>
        <v>8363.0935424048785</v>
      </c>
      <c r="AL349" s="317">
        <f>IFERROR(INDEX('Other India Operations'!$A:$ABB,MATCH($AA349,'Other India Operations'!$A:$A,0),MATCH(AL347,'Other India Operations'!$1:$1,0)),"")</f>
        <v>8861.2717890546046</v>
      </c>
      <c r="AM349" s="317">
        <f>IFERROR(INDEX('Other India Operations'!$A:$ABB,MATCH($AA349,'Other India Operations'!$A:$A,0),MATCH(AM347,'Other India Operations'!$1:$1,0)),"")</f>
        <v>9487.3008151717859</v>
      </c>
      <c r="AN349" s="317">
        <f>IFERROR(INDEX('Other India Operations'!$A:$ABB,MATCH($AA349,'Other India Operations'!$A:$A,0),MATCH(AN347,'Other India Operations'!$1:$1,0)),"")</f>
        <v>9934.2516720122858</v>
      </c>
      <c r="AO349" s="317">
        <f>IFERROR(INDEX('Other India Operations'!$A:$ABB,MATCH($AA349,'Other India Operations'!$A:$A,0),MATCH(AO347,'Other India Operations'!$1:$1,0)),"")</f>
        <v>10554.373235411278</v>
      </c>
      <c r="AP349" s="317">
        <f>IFERROR(INDEX('Other India Operations'!$A:$ABB,MATCH($AA349,'Other India Operations'!$A:$A,0),MATCH(AP347,'Other India Operations'!$1:$1,0)),"")</f>
        <v>11207.990819063454</v>
      </c>
      <c r="AQ349" s="317">
        <f>IFERROR(INDEX('Other India Operations'!$A:$ABB,MATCH($AA349,'Other India Operations'!$A:$A,0),MATCH(AQ347,'Other India Operations'!$1:$1,0)),"")</f>
        <v>11798.083524191466</v>
      </c>
      <c r="AR349" s="317">
        <f>IFERROR(INDEX('Other India Operations'!$A:$ABB,MATCH($AA349,'Other India Operations'!$A:$A,0),MATCH(AR347,'Other India Operations'!$1:$1,0)),"")</f>
        <v>12317.073501138142</v>
      </c>
      <c r="AS349" s="317">
        <f>IFERROR(INDEX('Other India Operations'!$A:$ABB,MATCH($AA349,'Other India Operations'!$A:$A,0),MATCH(AS347,'Other India Operations'!$1:$1,0)),"")</f>
        <v>12766.497652474807</v>
      </c>
      <c r="AT349" s="317">
        <f>IFERROR(INDEX('Other India Operations'!$A:$ABB,MATCH($AA349,'Other India Operations'!$A:$A,0),MATCH(AT347,'Other India Operations'!$1:$1,0)),"")</f>
        <v>13293.621508364413</v>
      </c>
      <c r="AU349" s="317">
        <f>IFERROR(INDEX('Other India Operations'!$A:$ABB,MATCH($AA349,'Other India Operations'!$A:$A,0),MATCH(AU347,'Other India Operations'!$1:$1,0)),"")</f>
        <v>13955.339411944899</v>
      </c>
    </row>
    <row r="350" spans="1:47">
      <c r="A350" s="49"/>
      <c r="B350" s="49"/>
      <c r="C350" s="49"/>
      <c r="D350" s="49"/>
      <c r="E350" s="49"/>
      <c r="F350" s="49"/>
      <c r="G350" s="49"/>
      <c r="H350" s="49"/>
      <c r="I350" s="49"/>
      <c r="J350" s="49"/>
      <c r="K350" s="49"/>
      <c r="L350" s="49"/>
      <c r="M350" s="49"/>
      <c r="N350" s="49"/>
      <c r="O350" s="49"/>
      <c r="P350" s="49"/>
      <c r="Q350" s="49"/>
      <c r="R350" s="49"/>
      <c r="S350" s="49"/>
      <c r="T350" s="49"/>
      <c r="U350" s="49"/>
      <c r="V350" s="49"/>
      <c r="W350" s="49"/>
    </row>
    <row r="351" spans="1:47">
      <c r="A351" s="49"/>
      <c r="B351" s="49"/>
      <c r="C351" s="49"/>
      <c r="D351" s="49"/>
      <c r="E351" s="49"/>
      <c r="F351" s="49"/>
      <c r="G351" s="49"/>
      <c r="H351" s="49"/>
      <c r="I351" s="49"/>
      <c r="J351" s="49"/>
      <c r="K351" s="49"/>
      <c r="L351" s="49"/>
      <c r="M351" s="49"/>
      <c r="N351" s="49"/>
      <c r="O351" s="49"/>
      <c r="P351" s="49"/>
      <c r="Q351" s="49"/>
      <c r="R351" s="49"/>
      <c r="S351" s="49"/>
      <c r="T351" s="49"/>
      <c r="U351" s="49"/>
      <c r="V351" s="49"/>
      <c r="W351" s="49"/>
    </row>
    <row r="352" spans="1:47">
      <c r="A352" s="49"/>
      <c r="B352" s="49"/>
      <c r="C352" s="49"/>
      <c r="D352" s="49"/>
      <c r="E352" s="49"/>
      <c r="F352" s="49"/>
      <c r="G352" s="49"/>
      <c r="H352" s="49"/>
      <c r="I352" s="49"/>
      <c r="J352" s="49"/>
      <c r="K352" s="49"/>
      <c r="L352" s="49"/>
      <c r="M352" s="49"/>
      <c r="N352" s="49"/>
      <c r="O352" s="49"/>
      <c r="P352" s="49"/>
      <c r="Q352" s="49"/>
      <c r="R352" s="49"/>
      <c r="S352" s="49"/>
      <c r="T352" s="49"/>
      <c r="U352" s="49"/>
      <c r="V352" s="49"/>
      <c r="W352" s="49"/>
    </row>
    <row r="353" spans="1:47">
      <c r="A353" s="49"/>
      <c r="B353" s="49"/>
      <c r="C353" s="49"/>
      <c r="D353" s="49"/>
      <c r="E353" s="49"/>
      <c r="F353" s="49"/>
      <c r="G353" s="49"/>
      <c r="H353" s="49"/>
      <c r="I353" s="49"/>
      <c r="J353" s="49"/>
      <c r="K353" s="49"/>
      <c r="L353" s="49"/>
      <c r="M353" s="49"/>
      <c r="N353" s="49"/>
      <c r="O353" s="49"/>
      <c r="P353" s="49"/>
      <c r="Q353" s="49"/>
      <c r="R353" s="49"/>
      <c r="S353" s="49"/>
      <c r="T353" s="49"/>
      <c r="U353" s="49"/>
      <c r="V353" s="49"/>
      <c r="W353" s="49"/>
    </row>
    <row r="354" spans="1:47">
      <c r="A354" s="49"/>
      <c r="B354" s="49"/>
      <c r="C354" s="49"/>
      <c r="D354" s="49"/>
      <c r="E354" s="49"/>
      <c r="F354" s="49"/>
      <c r="G354" s="49"/>
      <c r="H354" s="49"/>
      <c r="I354" s="49"/>
      <c r="J354" s="49"/>
      <c r="K354" s="49"/>
      <c r="L354" s="49"/>
      <c r="M354" s="49"/>
      <c r="N354" s="49"/>
      <c r="O354" s="49"/>
      <c r="P354" s="49"/>
      <c r="Q354" s="49"/>
      <c r="R354" s="49"/>
      <c r="S354" s="49"/>
      <c r="T354" s="49"/>
      <c r="U354" s="49"/>
      <c r="V354" s="49"/>
      <c r="W354" s="49"/>
    </row>
    <row r="355" spans="1:47">
      <c r="A355" s="49"/>
      <c r="B355" s="49"/>
      <c r="C355" s="49"/>
      <c r="D355" s="49"/>
      <c r="E355" s="49"/>
      <c r="F355" s="49"/>
      <c r="G355" s="49"/>
      <c r="H355" s="49"/>
      <c r="I355" s="49"/>
      <c r="J355" s="49"/>
      <c r="K355" s="49"/>
      <c r="L355" s="49"/>
      <c r="M355" s="49"/>
      <c r="N355" s="49"/>
      <c r="O355" s="49"/>
      <c r="P355" s="49"/>
      <c r="Q355" s="49"/>
      <c r="R355" s="49"/>
      <c r="S355" s="49"/>
      <c r="T355" s="49"/>
      <c r="U355" s="49"/>
      <c r="V355" s="49"/>
      <c r="W355" s="49"/>
    </row>
    <row r="356" spans="1:47">
      <c r="A356" s="49"/>
      <c r="B356" s="49"/>
      <c r="C356" s="49"/>
      <c r="D356" s="49"/>
      <c r="E356" s="49"/>
      <c r="F356" s="49"/>
      <c r="G356" s="49"/>
      <c r="H356" s="49"/>
      <c r="I356" s="49"/>
      <c r="J356" s="49"/>
      <c r="K356" s="49"/>
      <c r="L356" s="49"/>
      <c r="M356" s="49"/>
      <c r="N356" s="49"/>
      <c r="O356" s="49"/>
      <c r="P356" s="49"/>
      <c r="Q356" s="49"/>
      <c r="R356" s="49"/>
      <c r="S356" s="49"/>
      <c r="T356" s="49"/>
      <c r="U356" s="49"/>
      <c r="V356" s="49"/>
      <c r="W356" s="49"/>
    </row>
    <row r="357" spans="1:47">
      <c r="A357" s="49"/>
      <c r="B357" s="49"/>
      <c r="C357" s="49"/>
      <c r="D357" s="49"/>
      <c r="E357" s="49"/>
      <c r="F357" s="49"/>
      <c r="G357" s="49"/>
      <c r="H357" s="49"/>
      <c r="I357" s="49"/>
      <c r="J357" s="49"/>
      <c r="K357" s="49"/>
      <c r="L357" s="49"/>
      <c r="M357" s="49"/>
      <c r="N357" s="49"/>
      <c r="O357" s="49"/>
      <c r="P357" s="49"/>
      <c r="Q357" s="49"/>
      <c r="R357" s="49"/>
      <c r="S357" s="49"/>
      <c r="T357" s="49"/>
      <c r="U357" s="49"/>
      <c r="V357" s="49"/>
      <c r="W357" s="49"/>
    </row>
    <row r="358" spans="1:47">
      <c r="A358" s="49"/>
      <c r="B358" s="49"/>
      <c r="C358" s="49"/>
      <c r="D358" s="49"/>
      <c r="E358" s="49"/>
      <c r="F358" s="49"/>
      <c r="G358" s="49"/>
      <c r="H358" s="49"/>
      <c r="I358" s="49"/>
      <c r="J358" s="49"/>
      <c r="K358" s="49"/>
      <c r="L358" s="49"/>
      <c r="M358" s="49"/>
      <c r="N358" s="49"/>
      <c r="O358" s="49"/>
      <c r="P358" s="49"/>
      <c r="Q358" s="49"/>
      <c r="R358" s="49"/>
      <c r="S358" s="49"/>
      <c r="T358" s="49"/>
      <c r="U358" s="49"/>
      <c r="V358" s="49"/>
      <c r="W358" s="49"/>
    </row>
    <row r="359" spans="1:47">
      <c r="A359" s="49"/>
      <c r="B359" s="49"/>
      <c r="C359" s="49"/>
      <c r="D359" s="49"/>
      <c r="E359" s="49"/>
      <c r="F359" s="49"/>
      <c r="G359" s="49"/>
      <c r="H359" s="49"/>
      <c r="I359" s="49"/>
      <c r="J359" s="49"/>
      <c r="K359" s="49"/>
      <c r="L359" s="49"/>
      <c r="M359" s="49"/>
      <c r="N359" s="49"/>
      <c r="O359" s="49"/>
      <c r="P359" s="49"/>
      <c r="Q359" s="49"/>
      <c r="R359" s="49"/>
      <c r="S359" s="49"/>
      <c r="T359" s="49"/>
      <c r="U359" s="49"/>
      <c r="V359" s="49"/>
      <c r="W359" s="49"/>
    </row>
    <row r="360" spans="1:47">
      <c r="A360" s="49"/>
      <c r="B360" s="49"/>
      <c r="C360" s="49"/>
      <c r="D360" s="49"/>
      <c r="E360" s="49"/>
      <c r="F360" s="49"/>
      <c r="G360" s="49"/>
      <c r="H360" s="49"/>
      <c r="I360" s="49"/>
      <c r="J360" s="49"/>
      <c r="K360" s="49"/>
      <c r="L360" s="49"/>
      <c r="M360" s="49"/>
      <c r="N360" s="49"/>
      <c r="O360" s="49"/>
      <c r="P360" s="49"/>
      <c r="Q360" s="49"/>
      <c r="R360" s="49"/>
      <c r="S360" s="49"/>
      <c r="T360" s="49"/>
      <c r="U360" s="49"/>
      <c r="V360" s="49"/>
      <c r="W360" s="49"/>
    </row>
    <row r="361" spans="1:47">
      <c r="A361" s="49"/>
      <c r="B361" s="49"/>
      <c r="C361" s="49"/>
      <c r="D361" s="49"/>
      <c r="E361" s="49"/>
      <c r="F361" s="49"/>
      <c r="G361" s="49"/>
      <c r="H361" s="49"/>
      <c r="I361" s="49"/>
      <c r="J361" s="49"/>
      <c r="K361" s="49"/>
      <c r="L361" s="49"/>
      <c r="M361" s="49"/>
      <c r="N361" s="49"/>
      <c r="O361" s="49"/>
      <c r="P361" s="49"/>
      <c r="Q361" s="49"/>
      <c r="R361" s="49"/>
      <c r="S361" s="49"/>
      <c r="T361" s="49"/>
      <c r="U361" s="49"/>
      <c r="V361" s="49"/>
      <c r="W361" s="49"/>
    </row>
    <row r="362" spans="1:47">
      <c r="A362" s="1" t="s">
        <v>452</v>
      </c>
      <c r="B362" s="1"/>
      <c r="C362" s="1"/>
      <c r="D362" s="1"/>
      <c r="E362" s="1"/>
      <c r="F362" s="1"/>
      <c r="G362" s="1"/>
      <c r="H362" s="1"/>
      <c r="I362" s="1"/>
      <c r="J362" s="1"/>
      <c r="K362" s="1" t="s">
        <v>453</v>
      </c>
      <c r="L362" s="1" t="s">
        <v>545</v>
      </c>
      <c r="M362" s="1"/>
      <c r="N362" s="1"/>
      <c r="O362" s="1"/>
      <c r="P362" s="1"/>
      <c r="Q362" s="1"/>
      <c r="R362" s="1"/>
      <c r="S362" s="1"/>
      <c r="T362" s="1"/>
      <c r="U362" s="49"/>
      <c r="V362" s="49"/>
      <c r="W362" s="49"/>
    </row>
    <row r="363" spans="1:47">
      <c r="A363" s="49"/>
      <c r="B363" s="49"/>
      <c r="C363" s="49"/>
      <c r="D363" s="49"/>
      <c r="E363" s="49"/>
      <c r="F363" s="49"/>
      <c r="G363" s="49"/>
      <c r="H363" s="49"/>
      <c r="I363" s="49"/>
      <c r="J363" s="49"/>
      <c r="K363" s="49"/>
      <c r="L363" s="49"/>
      <c r="M363" s="49"/>
      <c r="N363" s="49"/>
      <c r="O363" s="49"/>
      <c r="P363" s="49"/>
      <c r="Q363" s="49"/>
      <c r="R363" s="49"/>
      <c r="S363" s="49"/>
      <c r="T363" s="49"/>
      <c r="U363" s="49"/>
      <c r="V363" s="49"/>
      <c r="W363" s="49"/>
    </row>
    <row r="364" spans="1:47">
      <c r="A364" s="49"/>
      <c r="B364" s="49"/>
      <c r="C364" s="49"/>
      <c r="D364" s="49"/>
      <c r="E364" s="49"/>
      <c r="F364" s="49"/>
      <c r="G364" s="49"/>
      <c r="H364" s="49"/>
      <c r="I364" s="49"/>
      <c r="J364" s="49"/>
      <c r="K364" s="49"/>
      <c r="L364" s="49"/>
      <c r="M364" s="49"/>
      <c r="N364" s="49"/>
      <c r="O364" s="49"/>
      <c r="P364" s="49"/>
      <c r="Q364" s="49"/>
      <c r="R364" s="49"/>
      <c r="S364" s="49"/>
      <c r="T364" s="49"/>
      <c r="U364" s="49"/>
      <c r="V364" s="49"/>
      <c r="W364" s="49"/>
      <c r="AB364" s="303">
        <f t="shared" ref="AB364" si="552">AC364-1</f>
        <v>35</v>
      </c>
      <c r="AC364" s="303">
        <f t="shared" ref="AC364" si="553">AD364-1</f>
        <v>36</v>
      </c>
      <c r="AD364" s="303">
        <f t="shared" ref="AD364" si="554">AE364-1</f>
        <v>37</v>
      </c>
      <c r="AE364" s="303">
        <f t="shared" ref="AE364" si="555">AF364-1</f>
        <v>38</v>
      </c>
      <c r="AF364" s="303">
        <f t="shared" ref="AF364" si="556">AG364-1</f>
        <v>39</v>
      </c>
      <c r="AG364" s="303">
        <f t="shared" ref="AG364" si="557">AH364-1</f>
        <v>40</v>
      </c>
      <c r="AH364" s="303">
        <f t="shared" ref="AH364" si="558">AI364-1</f>
        <v>41</v>
      </c>
      <c r="AI364" s="303">
        <f t="shared" ref="AI364" si="559">AJ364-1</f>
        <v>42</v>
      </c>
      <c r="AJ364" s="303">
        <f t="shared" ref="AJ364" si="560">AK364-1</f>
        <v>43</v>
      </c>
      <c r="AK364" s="303">
        <f t="shared" ref="AK364" si="561">AL364-1</f>
        <v>44</v>
      </c>
      <c r="AL364" s="303">
        <f t="shared" ref="AL364" si="562">AM364-1</f>
        <v>45</v>
      </c>
      <c r="AM364" s="303">
        <f t="shared" ref="AM364" si="563">AN364-1</f>
        <v>46</v>
      </c>
      <c r="AN364" s="303">
        <f t="shared" ref="AN364" si="564">AO364-1</f>
        <v>47</v>
      </c>
      <c r="AO364" s="303">
        <f t="shared" ref="AO364" si="565">AP364-1</f>
        <v>48</v>
      </c>
      <c r="AP364" s="303">
        <f t="shared" ref="AP364" si="566">AQ364-1</f>
        <v>49</v>
      </c>
      <c r="AQ364" s="303">
        <f t="shared" ref="AQ364" si="567">AR364-1</f>
        <v>50</v>
      </c>
      <c r="AR364" s="303">
        <f t="shared" ref="AR364" si="568">AS364-1</f>
        <v>51</v>
      </c>
      <c r="AS364" s="303">
        <f t="shared" ref="AS364" si="569">AT364-1</f>
        <v>52</v>
      </c>
      <c r="AT364" s="303">
        <f t="shared" ref="AT364" si="570">AU364-1</f>
        <v>53</v>
      </c>
      <c r="AU364" s="303">
        <f>VLOOKUP(AU365,Dates!$A:$D,2,FALSE)</f>
        <v>54</v>
      </c>
    </row>
    <row r="365" spans="1:47">
      <c r="A365" s="49"/>
      <c r="B365" s="49"/>
      <c r="C365" s="49"/>
      <c r="D365" s="49"/>
      <c r="E365" s="49"/>
      <c r="F365" s="49"/>
      <c r="G365" s="49"/>
      <c r="H365" s="49"/>
      <c r="I365" s="49"/>
      <c r="J365" s="49"/>
      <c r="K365" s="49"/>
      <c r="L365" s="49"/>
      <c r="M365" s="49"/>
      <c r="N365" s="49"/>
      <c r="O365" s="49"/>
      <c r="P365" s="49"/>
      <c r="Q365" s="49"/>
      <c r="R365" s="49"/>
      <c r="S365" s="49"/>
      <c r="T365" s="49"/>
      <c r="U365" s="49"/>
      <c r="V365" s="49"/>
      <c r="W365" s="49"/>
      <c r="AB365" s="303" t="str">
        <f>IFERROR(VLOOKUP(AB364,Dates!$B:$D,3,FALSE),"")</f>
        <v>3Q20</v>
      </c>
      <c r="AC365" s="303" t="str">
        <f>IFERROR(VLOOKUP(AC364,Dates!$B:$D,3,FALSE),"")</f>
        <v>4Q20</v>
      </c>
      <c r="AD365" s="303" t="str">
        <f>IFERROR(VLOOKUP(AD364,Dates!$B:$D,3,FALSE),"")</f>
        <v>1Q21</v>
      </c>
      <c r="AE365" s="303" t="str">
        <f>IFERROR(VLOOKUP(AE364,Dates!$B:$D,3,FALSE),"")</f>
        <v>2Q21</v>
      </c>
      <c r="AF365" s="303" t="str">
        <f>IFERROR(VLOOKUP(AF364,Dates!$B:$D,3,FALSE),"")</f>
        <v>3Q21</v>
      </c>
      <c r="AG365" s="303" t="str">
        <f>IFERROR(VLOOKUP(AG364,Dates!$B:$D,3,FALSE),"")</f>
        <v>4Q21</v>
      </c>
      <c r="AH365" s="303" t="str">
        <f>IFERROR(VLOOKUP(AH364,Dates!$B:$D,3,FALSE),"")</f>
        <v>1Q22</v>
      </c>
      <c r="AI365" s="303" t="str">
        <f>IFERROR(VLOOKUP(AI364,Dates!$B:$D,3,FALSE),"")</f>
        <v>2Q22</v>
      </c>
      <c r="AJ365" s="303" t="str">
        <f>IFERROR(VLOOKUP(AJ364,Dates!$B:$D,3,FALSE),"")</f>
        <v>3Q22</v>
      </c>
      <c r="AK365" s="303" t="str">
        <f>IFERROR(VLOOKUP(AK364,Dates!$B:$D,3,FALSE),"")</f>
        <v>4Q22</v>
      </c>
      <c r="AL365" s="303" t="str">
        <f>IFERROR(VLOOKUP(AL364,Dates!$B:$D,3,FALSE),"")</f>
        <v>1Q23</v>
      </c>
      <c r="AM365" s="303" t="str">
        <f>IFERROR(VLOOKUP(AM364,Dates!$B:$D,3,FALSE),"")</f>
        <v>2Q23</v>
      </c>
      <c r="AN365" s="303" t="str">
        <f>IFERROR(VLOOKUP(AN364,Dates!$B:$D,3,FALSE),"")</f>
        <v>3Q23</v>
      </c>
      <c r="AO365" s="303" t="str">
        <f>IFERROR(VLOOKUP(AO364,Dates!$B:$D,3,FALSE),"")</f>
        <v>4Q23</v>
      </c>
      <c r="AP365" s="303" t="str">
        <f>IFERROR(VLOOKUP(AP364,Dates!$B:$D,3,FALSE),"")</f>
        <v>1Q24</v>
      </c>
      <c r="AQ365" s="303" t="str">
        <f>IFERROR(VLOOKUP(AQ364,Dates!$B:$D,3,FALSE),"")</f>
        <v>2Q24</v>
      </c>
      <c r="AR365" s="303" t="str">
        <f>IFERROR(VLOOKUP(AR364,Dates!$B:$D,3,FALSE),"")</f>
        <v>3Q24</v>
      </c>
      <c r="AS365" s="303" t="str">
        <f>IFERROR(VLOOKUP(AS364,Dates!$B:$D,3,FALSE),"")</f>
        <v>4Q24</v>
      </c>
      <c r="AT365" s="303" t="str">
        <f>IFERROR(VLOOKUP(AT364,Dates!$B:$D,3,FALSE),"")</f>
        <v>1Q25</v>
      </c>
      <c r="AU365" s="315" t="str">
        <f>$G$3</f>
        <v>2Q25</v>
      </c>
    </row>
    <row r="366" spans="1:47">
      <c r="A366" s="49"/>
      <c r="B366" s="49"/>
      <c r="C366" s="49"/>
      <c r="D366" s="49"/>
      <c r="E366" s="49"/>
      <c r="F366" s="49"/>
      <c r="G366" s="49"/>
      <c r="H366" s="49"/>
      <c r="I366" s="49"/>
      <c r="J366" s="49"/>
      <c r="K366" s="49"/>
      <c r="L366" s="49"/>
      <c r="M366" s="49"/>
      <c r="N366" s="49"/>
      <c r="O366" s="49"/>
      <c r="P366" s="49"/>
      <c r="Q366" s="49"/>
      <c r="R366" s="49"/>
      <c r="S366" s="49"/>
      <c r="T366" s="49"/>
      <c r="U366" s="49"/>
      <c r="V366" s="49"/>
      <c r="W366" s="49"/>
      <c r="AA366" s="316" t="str">
        <f>'Other India Operations'!A13</f>
        <v>Digital TV Subscribers</v>
      </c>
      <c r="AB366" s="317">
        <f>IFERROR(INDEX('Other India Operations'!$A:$ABB,MATCH($AA366,'Other India Operations'!$A:$A,0),MATCH(AB365,'Other India Operations'!$1:$1,0)),"")</f>
        <v>16308.467777225882</v>
      </c>
      <c r="AC366" s="317">
        <f>IFERROR(INDEX('Other India Operations'!$A:$ABB,MATCH($AA366,'Other India Operations'!$A:$A,0),MATCH(AC365,'Other India Operations'!$1:$1,0)),"")</f>
        <v>16612.594777225881</v>
      </c>
      <c r="AD366" s="317">
        <f>IFERROR(INDEX('Other India Operations'!$A:$ABB,MATCH($AA366,'Other India Operations'!$A:$A,0),MATCH(AD365,'Other India Operations'!$1:$1,0)),"")</f>
        <v>16838.248777225883</v>
      </c>
      <c r="AE366" s="317">
        <f>IFERROR(INDEX('Other India Operations'!$A:$ABB,MATCH($AA366,'Other India Operations'!$A:$A,0),MATCH(AE365,'Other India Operations'!$1:$1,0)),"")</f>
        <v>17386.908777225883</v>
      </c>
      <c r="AF366" s="317">
        <f>IFERROR(INDEX('Other India Operations'!$A:$ABB,MATCH($AA366,'Other India Operations'!$A:$A,0),MATCH(AF365,'Other India Operations'!$1:$1,0)),"")</f>
        <v>17872.266584455479</v>
      </c>
      <c r="AG366" s="317">
        <f>IFERROR(INDEX('Other India Operations'!$A:$ABB,MATCH($AA366,'Other India Operations'!$A:$A,0),MATCH(AG365,'Other India Operations'!$1:$1,0)),"")</f>
        <v>17716.126777225883</v>
      </c>
      <c r="AH366" s="317">
        <f>IFERROR(INDEX('Other India Operations'!$A:$ABB,MATCH($AA366,'Other India Operations'!$A:$A,0),MATCH(AH365,'Other India Operations'!$1:$1,0)),"")</f>
        <v>17998.513777225882</v>
      </c>
      <c r="AI366" s="317">
        <f>IFERROR(INDEX('Other India Operations'!$A:$ABB,MATCH($AA366,'Other India Operations'!$A:$A,0),MATCH(AI365,'Other India Operations'!$1:$1,0)),"")</f>
        <v>17987.347000000002</v>
      </c>
      <c r="AJ366" s="317">
        <f>IFERROR(INDEX('Other India Operations'!$A:$ABB,MATCH($AA366,'Other India Operations'!$A:$A,0),MATCH(AJ365,'Other India Operations'!$1:$1,0)),"")</f>
        <v>18066.136999999999</v>
      </c>
      <c r="AK366" s="317">
        <f>IFERROR(INDEX('Other India Operations'!$A:$ABB,MATCH($AA366,'Other India Operations'!$A:$A,0),MATCH(AK365,'Other India Operations'!$1:$1,0)),"")</f>
        <v>17558.239000000001</v>
      </c>
      <c r="AL366" s="317">
        <f>IFERROR(INDEX('Other India Operations'!$A:$ABB,MATCH($AA366,'Other India Operations'!$A:$A,0),MATCH(AL365,'Other India Operations'!$1:$1,0)),"")</f>
        <v>15705.246999999999</v>
      </c>
      <c r="AM366" s="317">
        <f>IFERROR(INDEX('Other India Operations'!$A:$ABB,MATCH($AA366,'Other India Operations'!$A:$A,0),MATCH(AM365,'Other India Operations'!$1:$1,0)),"")</f>
        <v>15770.837</v>
      </c>
      <c r="AN366" s="317">
        <f>IFERROR(INDEX('Other India Operations'!$A:$ABB,MATCH($AA366,'Other India Operations'!$A:$A,0),MATCH(AN365,'Other India Operations'!$1:$1,0)),"")</f>
        <v>15985.056</v>
      </c>
      <c r="AO366" s="317">
        <f>IFERROR(INDEX('Other India Operations'!$A:$ABB,MATCH($AA366,'Other India Operations'!$A:$A,0),MATCH(AO365,'Other India Operations'!$1:$1,0)),"")</f>
        <v>15945.659</v>
      </c>
      <c r="AP366" s="317">
        <f>IFERROR(INDEX('Other India Operations'!$A:$ABB,MATCH($AA366,'Other India Operations'!$A:$A,0),MATCH(AP365,'Other India Operations'!$1:$1,0)),"")</f>
        <v>15918.012000000001</v>
      </c>
      <c r="AQ366" s="317">
        <f>IFERROR(INDEX('Other India Operations'!$A:$ABB,MATCH($AA366,'Other India Operations'!$A:$A,0),MATCH(AQ365,'Other India Operations'!$1:$1,0)),"")</f>
        <v>15749.462</v>
      </c>
      <c r="AR366" s="317">
        <f>IFERROR(INDEX('Other India Operations'!$A:$ABB,MATCH($AA366,'Other India Operations'!$A:$A,0),MATCH(AR365,'Other India Operations'!$1:$1,0)),"")</f>
        <v>16137.174000000001</v>
      </c>
      <c r="AS366" s="317">
        <f>IFERROR(INDEX('Other India Operations'!$A:$ABB,MATCH($AA366,'Other India Operations'!$A:$A,0),MATCH(AS365,'Other India Operations'!$1:$1,0)),"")</f>
        <v>16146.321</v>
      </c>
      <c r="AT366" s="317">
        <f>IFERROR(INDEX('Other India Operations'!$A:$ABB,MATCH($AA366,'Other India Operations'!$A:$A,0),MATCH(AT365,'Other India Operations'!$1:$1,0)),"")</f>
        <v>16340.511</v>
      </c>
      <c r="AU366" s="317">
        <f>IFERROR(INDEX('Other India Operations'!$A:$ABB,MATCH($AA366,'Other India Operations'!$A:$A,0),MATCH(AU365,'Other India Operations'!$1:$1,0)),"")</f>
        <v>15794.24</v>
      </c>
    </row>
    <row r="367" spans="1:47">
      <c r="A367" s="49"/>
      <c r="B367" s="49"/>
      <c r="C367" s="49"/>
      <c r="D367" s="49"/>
      <c r="E367" s="49"/>
      <c r="F367" s="49"/>
      <c r="G367" s="49"/>
      <c r="H367" s="49"/>
      <c r="I367" s="49"/>
      <c r="J367" s="49"/>
      <c r="K367" s="49"/>
      <c r="L367" s="49"/>
      <c r="M367" s="49"/>
      <c r="N367" s="49"/>
      <c r="O367" s="49"/>
      <c r="P367" s="49"/>
      <c r="Q367" s="49"/>
      <c r="R367" s="49"/>
      <c r="S367" s="49"/>
      <c r="T367" s="49"/>
      <c r="U367" s="49"/>
      <c r="V367" s="49"/>
      <c r="W367" s="49"/>
      <c r="AA367" s="316" t="str">
        <f>'Other India Operations'!A15</f>
        <v>Digital TV ARPU (INR)</v>
      </c>
      <c r="AB367" s="317">
        <f>IFERROR(INDEX('Other India Operations'!$A:$ABB,MATCH($AA367,'Other India Operations'!$A:$A,0),MATCH(AB365,'Other India Operations'!$1:$1,0)),"")</f>
        <v>162.46205784245794</v>
      </c>
      <c r="AC367" s="317">
        <f>IFERROR(INDEX('Other India Operations'!$A:$ABB,MATCH($AA367,'Other India Operations'!$A:$A,0),MATCH(AC365,'Other India Operations'!$1:$1,0)),"")</f>
        <v>122.65647839875182</v>
      </c>
      <c r="AD367" s="317">
        <f>IFERROR(INDEX('Other India Operations'!$A:$ABB,MATCH($AA367,'Other India Operations'!$A:$A,0),MATCH(AD365,'Other India Operations'!$1:$1,0)),"")</f>
        <v>148.78737382368561</v>
      </c>
      <c r="AE367" s="317">
        <f>IFERROR(INDEX('Other India Operations'!$A:$ABB,MATCH($AA367,'Other India Operations'!$A:$A,0),MATCH(AE365,'Other India Operations'!$1:$1,0)),"")</f>
        <v>147.74965710473782</v>
      </c>
      <c r="AF367" s="317">
        <f>IFERROR(INDEX('Other India Operations'!$A:$ABB,MATCH($AA367,'Other India Operations'!$A:$A,0),MATCH(AF365,'Other India Operations'!$1:$1,0)),"")</f>
        <v>148.89064853169856</v>
      </c>
      <c r="AG367" s="317">
        <f>IFERROR(INDEX('Other India Operations'!$A:$ABB,MATCH($AA367,'Other India Operations'!$A:$A,0),MATCH(AG365,'Other India Operations'!$1:$1,0)),"")</f>
        <v>143.83367944917575</v>
      </c>
      <c r="AH367" s="317">
        <f>IFERROR(INDEX('Other India Operations'!$A:$ABB,MATCH($AA367,'Other India Operations'!$A:$A,0),MATCH(AH365,'Other India Operations'!$1:$1,0)),"")</f>
        <v>150.73213838392522</v>
      </c>
      <c r="AI367" s="317">
        <f>IFERROR(INDEX('Other India Operations'!$A:$ABB,MATCH($AA367,'Other India Operations'!$A:$A,0),MATCH(AI365,'Other India Operations'!$1:$1,0)),"")</f>
        <v>147.79462519114006</v>
      </c>
      <c r="AJ367" s="317">
        <f>IFERROR(INDEX('Other India Operations'!$A:$ABB,MATCH($AA367,'Other India Operations'!$A:$A,0),MATCH(AJ365,'Other India Operations'!$1:$1,0)),"")</f>
        <v>145.98991833253771</v>
      </c>
      <c r="AK367" s="317">
        <f>IFERROR(INDEX('Other India Operations'!$A:$ABB,MATCH($AA367,'Other India Operations'!$A:$A,0),MATCH(AK365,'Other India Operations'!$1:$1,0)),"")</f>
        <v>141.73458747850034</v>
      </c>
      <c r="AL367" s="317">
        <f>IFERROR(INDEX('Other India Operations'!$A:$ABB,MATCH($AA367,'Other India Operations'!$A:$A,0),MATCH(AL365,'Other India Operations'!$1:$1,0)),"")</f>
        <v>157.58709845704288</v>
      </c>
      <c r="AM367" s="317">
        <f>IFERROR(INDEX('Other India Operations'!$A:$ABB,MATCH($AA367,'Other India Operations'!$A:$A,0),MATCH(AM365,'Other India Operations'!$1:$1,0)),"")</f>
        <v>154.96252504091342</v>
      </c>
      <c r="AN367" s="317">
        <f>IFERROR(INDEX('Other India Operations'!$A:$ABB,MATCH($AA367,'Other India Operations'!$A:$A,0),MATCH(AN365,'Other India Operations'!$1:$1,0)),"")</f>
        <v>153.9993376767836</v>
      </c>
      <c r="AO367" s="317">
        <f>IFERROR(INDEX('Other India Operations'!$A:$ABB,MATCH($AA367,'Other India Operations'!$A:$A,0),MATCH(AO365,'Other India Operations'!$1:$1,0)),"")</f>
        <v>152.55903994199357</v>
      </c>
      <c r="AP367" s="317">
        <f>IFERROR(INDEX('Other India Operations'!$A:$ABB,MATCH($AA367,'Other India Operations'!$A:$A,0),MATCH(AP365,'Other India Operations'!$1:$1,0)),"")</f>
        <v>153.84560873706252</v>
      </c>
      <c r="AQ367" s="317">
        <f>IFERROR(INDEX('Other India Operations'!$A:$ABB,MATCH($AA367,'Other India Operations'!$A:$A,0),MATCH(AQ365,'Other India Operations'!$1:$1,0)),"")</f>
        <v>158.95802065141902</v>
      </c>
      <c r="AR367" s="317">
        <f>IFERROR(INDEX('Other India Operations'!$A:$ABB,MATCH($AA367,'Other India Operations'!$A:$A,0),MATCH(AR365,'Other India Operations'!$1:$1,0)),"")</f>
        <v>162.97802204201233</v>
      </c>
      <c r="AS367" s="317">
        <f>IFERROR(INDEX('Other India Operations'!$A:$ABB,MATCH($AA367,'Other India Operations'!$A:$A,0),MATCH(AS365,'Other India Operations'!$1:$1,0)),"")</f>
        <v>160.07840843104452</v>
      </c>
      <c r="AT367" s="317">
        <f>IFERROR(INDEX('Other India Operations'!$A:$ABB,MATCH($AA367,'Other India Operations'!$A:$A,0),MATCH(AT365,'Other India Operations'!$1:$1,0)),"")</f>
        <v>159.15326568388906</v>
      </c>
      <c r="AU367" s="317">
        <f>IFERROR(INDEX('Other India Operations'!$A:$ABB,MATCH($AA367,'Other India Operations'!$A:$A,0),MATCH(AU365,'Other India Operations'!$1:$1,0)),"")</f>
        <v>157.82629210205906</v>
      </c>
    </row>
    <row r="368" spans="1:47">
      <c r="A368" s="49"/>
      <c r="B368" s="49"/>
      <c r="C368" s="49"/>
      <c r="D368" s="49"/>
      <c r="E368" s="49"/>
      <c r="F368" s="49"/>
      <c r="G368" s="49"/>
      <c r="H368" s="49"/>
      <c r="I368" s="49"/>
      <c r="J368" s="49"/>
      <c r="K368" s="49"/>
      <c r="L368" s="49"/>
      <c r="M368" s="49"/>
      <c r="N368" s="49"/>
      <c r="O368" s="49"/>
      <c r="P368" s="49"/>
      <c r="Q368" s="49"/>
      <c r="R368" s="49"/>
      <c r="S368" s="49"/>
      <c r="T368" s="49"/>
      <c r="U368" s="49"/>
      <c r="V368" s="49"/>
      <c r="W368" s="49"/>
    </row>
    <row r="369" spans="1:23">
      <c r="A369" s="49"/>
      <c r="B369" s="49"/>
      <c r="C369" s="49"/>
      <c r="D369" s="49"/>
      <c r="E369" s="49"/>
      <c r="F369" s="49"/>
      <c r="G369" s="49"/>
      <c r="H369" s="49"/>
      <c r="I369" s="49"/>
      <c r="J369" s="49"/>
      <c r="K369" s="49"/>
      <c r="L369" s="49"/>
      <c r="M369" s="49"/>
      <c r="N369" s="49"/>
      <c r="O369" s="49"/>
      <c r="P369" s="49"/>
      <c r="Q369" s="49"/>
      <c r="R369" s="49"/>
      <c r="S369" s="49"/>
      <c r="T369" s="49"/>
      <c r="U369" s="49"/>
      <c r="V369" s="49"/>
      <c r="W369" s="49"/>
    </row>
    <row r="370" spans="1:23">
      <c r="A370" s="49"/>
      <c r="B370" s="49"/>
      <c r="C370" s="49"/>
      <c r="D370" s="49"/>
      <c r="E370" s="49"/>
      <c r="F370" s="49"/>
      <c r="G370" s="49"/>
      <c r="H370" s="49"/>
      <c r="I370" s="49"/>
      <c r="J370" s="49"/>
      <c r="K370" s="49"/>
      <c r="L370" s="49"/>
      <c r="M370" s="49"/>
      <c r="N370" s="49"/>
      <c r="O370" s="49"/>
      <c r="P370" s="49"/>
      <c r="Q370" s="49"/>
      <c r="R370" s="49"/>
      <c r="S370" s="49"/>
      <c r="T370" s="49"/>
      <c r="U370" s="49"/>
      <c r="V370" s="49"/>
      <c r="W370" s="49"/>
    </row>
    <row r="371" spans="1:23">
      <c r="A371" s="49"/>
      <c r="B371" s="49"/>
      <c r="C371" s="49"/>
      <c r="D371" s="49"/>
      <c r="E371" s="49"/>
      <c r="F371" s="49"/>
      <c r="G371" s="49"/>
      <c r="H371" s="49"/>
      <c r="I371" s="49"/>
      <c r="J371" s="49"/>
      <c r="K371" s="49"/>
      <c r="L371" s="49"/>
      <c r="M371" s="49"/>
      <c r="N371" s="49"/>
      <c r="O371" s="49"/>
      <c r="P371" s="49"/>
      <c r="Q371" s="49"/>
      <c r="R371" s="49"/>
      <c r="S371" s="49"/>
      <c r="T371" s="49"/>
      <c r="U371" s="49"/>
      <c r="V371" s="49"/>
      <c r="W371" s="49"/>
    </row>
    <row r="372" spans="1:23">
      <c r="A372" s="49"/>
      <c r="B372" s="49"/>
      <c r="C372" s="49"/>
      <c r="D372" s="49"/>
      <c r="E372" s="49"/>
      <c r="F372" s="49"/>
      <c r="G372" s="49"/>
      <c r="H372" s="49"/>
      <c r="I372" s="49"/>
      <c r="J372" s="49"/>
      <c r="K372" s="49"/>
      <c r="L372" s="49"/>
      <c r="M372" s="49"/>
      <c r="N372" s="49"/>
      <c r="O372" s="49"/>
      <c r="P372" s="49"/>
      <c r="Q372" s="49"/>
      <c r="R372" s="49"/>
      <c r="S372" s="49"/>
      <c r="T372" s="49"/>
      <c r="U372" s="49"/>
      <c r="V372" s="49"/>
      <c r="W372" s="49"/>
    </row>
    <row r="373" spans="1:23">
      <c r="A373" s="49"/>
      <c r="B373" s="49"/>
      <c r="C373" s="49"/>
      <c r="D373" s="49"/>
      <c r="E373" s="49"/>
      <c r="F373" s="49"/>
      <c r="G373" s="49"/>
      <c r="H373" s="49"/>
      <c r="I373" s="49"/>
      <c r="J373" s="49"/>
      <c r="K373" s="49"/>
      <c r="L373" s="49"/>
      <c r="M373" s="49"/>
      <c r="N373" s="49"/>
      <c r="O373" s="49"/>
      <c r="P373" s="49"/>
      <c r="Q373" s="49"/>
      <c r="R373" s="49"/>
      <c r="S373" s="49"/>
      <c r="T373" s="49"/>
      <c r="U373" s="49"/>
      <c r="V373" s="49"/>
      <c r="W373" s="49"/>
    </row>
    <row r="374" spans="1:23">
      <c r="A374" s="49"/>
      <c r="B374" s="49"/>
      <c r="C374" s="49"/>
      <c r="D374" s="49"/>
      <c r="E374" s="49"/>
      <c r="F374" s="49"/>
      <c r="G374" s="49"/>
      <c r="H374" s="49"/>
      <c r="I374" s="49"/>
      <c r="J374" s="49"/>
      <c r="K374" s="49"/>
      <c r="L374" s="49"/>
      <c r="M374" s="49"/>
      <c r="N374" s="49"/>
      <c r="O374" s="49"/>
      <c r="P374" s="49"/>
      <c r="Q374" s="49"/>
      <c r="R374" s="49"/>
      <c r="S374" s="49"/>
      <c r="T374" s="49"/>
      <c r="U374" s="49"/>
      <c r="V374" s="49"/>
      <c r="W374" s="49"/>
    </row>
    <row r="375" spans="1:23">
      <c r="A375" s="49"/>
      <c r="B375" s="49"/>
      <c r="C375" s="49"/>
      <c r="D375" s="49"/>
      <c r="E375" s="49"/>
      <c r="F375" s="49"/>
      <c r="G375" s="49"/>
      <c r="H375" s="49"/>
      <c r="I375" s="49"/>
      <c r="J375" s="49"/>
      <c r="K375" s="49"/>
      <c r="L375" s="49"/>
      <c r="M375" s="49"/>
      <c r="N375" s="49"/>
      <c r="O375" s="49"/>
      <c r="P375" s="49"/>
      <c r="Q375" s="49"/>
      <c r="R375" s="49"/>
      <c r="S375" s="49"/>
      <c r="T375" s="49"/>
      <c r="U375" s="49"/>
      <c r="V375" s="49"/>
      <c r="W375" s="49"/>
    </row>
    <row r="376" spans="1:23">
      <c r="A376" s="49"/>
      <c r="B376" s="49"/>
      <c r="C376" s="49"/>
      <c r="D376" s="49"/>
      <c r="E376" s="49"/>
      <c r="F376" s="49"/>
      <c r="G376" s="49"/>
      <c r="H376" s="49"/>
      <c r="I376" s="49"/>
      <c r="J376" s="49"/>
      <c r="K376" s="49"/>
      <c r="L376" s="49"/>
      <c r="M376" s="49"/>
      <c r="N376" s="49"/>
      <c r="O376" s="49"/>
      <c r="P376" s="49"/>
      <c r="Q376" s="49"/>
      <c r="R376" s="49"/>
      <c r="S376" s="49"/>
      <c r="T376" s="49"/>
      <c r="U376" s="49"/>
      <c r="V376" s="49"/>
      <c r="W376" s="49"/>
    </row>
    <row r="377" spans="1:23">
      <c r="A377" s="49"/>
      <c r="B377" s="49"/>
      <c r="C377" s="49"/>
      <c r="D377" s="49"/>
      <c r="E377" s="49"/>
      <c r="F377" s="49"/>
      <c r="G377" s="49"/>
      <c r="H377" s="49"/>
      <c r="I377" s="49"/>
      <c r="J377" s="49"/>
      <c r="K377" s="49"/>
      <c r="L377" s="49"/>
      <c r="M377" s="49"/>
      <c r="N377" s="49"/>
      <c r="O377" s="49"/>
      <c r="P377" s="49"/>
      <c r="Q377" s="49"/>
      <c r="R377" s="49"/>
      <c r="S377" s="49"/>
      <c r="T377" s="49"/>
      <c r="U377" s="49"/>
      <c r="V377" s="49"/>
      <c r="W377" s="49"/>
    </row>
    <row r="378" spans="1:23">
      <c r="A378" s="49"/>
      <c r="B378" s="49"/>
      <c r="C378" s="49"/>
      <c r="D378" s="49"/>
      <c r="E378" s="49"/>
      <c r="F378" s="49"/>
      <c r="G378" s="49"/>
      <c r="H378" s="49"/>
      <c r="I378" s="49"/>
      <c r="J378" s="49"/>
      <c r="K378" s="49"/>
      <c r="L378" s="49"/>
      <c r="M378" s="49"/>
      <c r="N378" s="49"/>
      <c r="O378" s="49"/>
      <c r="P378" s="49"/>
      <c r="Q378" s="49"/>
      <c r="R378" s="49"/>
      <c r="S378" s="49"/>
      <c r="T378" s="49"/>
      <c r="U378" s="49"/>
      <c r="V378" s="49"/>
      <c r="W378" s="49"/>
    </row>
    <row r="379" spans="1:23">
      <c r="A379" s="49"/>
      <c r="B379" s="49"/>
      <c r="C379" s="49"/>
      <c r="D379" s="49"/>
      <c r="E379" s="49"/>
      <c r="F379" s="49"/>
      <c r="G379" s="49"/>
      <c r="H379" s="49"/>
      <c r="I379" s="49"/>
      <c r="J379" s="49"/>
      <c r="K379" s="49"/>
      <c r="L379" s="49"/>
      <c r="M379" s="49"/>
      <c r="N379" s="49"/>
      <c r="O379" s="49"/>
      <c r="P379" s="49"/>
      <c r="Q379" s="49"/>
      <c r="R379" s="49"/>
      <c r="S379" s="49"/>
      <c r="T379" s="49"/>
      <c r="U379" s="49"/>
      <c r="V379" s="49"/>
      <c r="W379" s="49"/>
    </row>
    <row r="380" spans="1:23">
      <c r="A380" s="49"/>
      <c r="B380" s="49"/>
      <c r="C380" s="49"/>
      <c r="D380" s="49"/>
      <c r="E380" s="49"/>
      <c r="F380" s="49"/>
      <c r="G380" s="49"/>
      <c r="H380" s="49"/>
      <c r="I380" s="49"/>
      <c r="J380" s="49"/>
      <c r="K380" s="49"/>
      <c r="L380" s="49"/>
      <c r="M380" s="49"/>
      <c r="N380" s="49"/>
      <c r="O380" s="49"/>
      <c r="P380" s="49"/>
      <c r="Q380" s="49"/>
      <c r="R380" s="49"/>
      <c r="S380" s="49"/>
      <c r="T380" s="49"/>
      <c r="U380" s="49"/>
      <c r="V380" s="49"/>
      <c r="W380" s="49"/>
    </row>
    <row r="381" spans="1:23">
      <c r="A381" s="1" t="s">
        <v>453</v>
      </c>
      <c r="B381" s="52" t="s">
        <v>556</v>
      </c>
      <c r="C381" s="1"/>
      <c r="D381" s="1"/>
      <c r="E381" s="1"/>
      <c r="F381" s="1"/>
      <c r="G381" s="1"/>
      <c r="H381" s="1"/>
      <c r="I381" s="1"/>
      <c r="J381" s="1"/>
      <c r="K381" s="1" t="s">
        <v>454</v>
      </c>
      <c r="L381" s="52" t="s">
        <v>538</v>
      </c>
      <c r="M381" s="1"/>
      <c r="N381" s="1"/>
      <c r="O381" s="1"/>
      <c r="P381" s="1"/>
      <c r="Q381" s="1"/>
      <c r="R381" s="1"/>
      <c r="S381" s="1"/>
      <c r="T381" s="1"/>
      <c r="U381" s="49"/>
      <c r="V381" s="49"/>
      <c r="W381" s="49"/>
    </row>
    <row r="382" spans="1:23">
      <c r="A382" s="49"/>
      <c r="B382" s="49"/>
      <c r="C382" s="49"/>
      <c r="D382" s="49"/>
      <c r="E382" s="49"/>
      <c r="F382" s="49"/>
      <c r="G382" s="49"/>
      <c r="H382" s="49"/>
      <c r="I382" s="49"/>
      <c r="J382" s="49"/>
      <c r="K382" s="49"/>
      <c r="L382" s="49"/>
      <c r="M382" s="49"/>
      <c r="N382" s="49"/>
      <c r="O382" s="49"/>
      <c r="P382" s="49"/>
      <c r="Q382" s="49"/>
      <c r="R382" s="49"/>
      <c r="S382" s="49"/>
      <c r="T382" s="49"/>
      <c r="U382" s="49"/>
      <c r="V382" s="49"/>
      <c r="W382" s="49"/>
    </row>
    <row r="383" spans="1:23">
      <c r="A383" s="49"/>
      <c r="B383" s="49"/>
      <c r="C383" s="49"/>
      <c r="D383" s="49"/>
      <c r="E383" s="49"/>
      <c r="F383" s="49"/>
      <c r="G383" s="49"/>
      <c r="H383" s="49"/>
      <c r="I383" s="49"/>
      <c r="J383" s="49"/>
      <c r="K383" s="49"/>
      <c r="L383" s="49"/>
      <c r="M383" s="49"/>
      <c r="N383" s="49"/>
      <c r="O383" s="49"/>
      <c r="P383" s="49"/>
      <c r="Q383" s="49"/>
      <c r="R383" s="49"/>
      <c r="S383" s="49"/>
      <c r="T383" s="49"/>
      <c r="U383" s="49"/>
      <c r="V383" s="49"/>
      <c r="W383" s="49"/>
    </row>
    <row r="384" spans="1:23">
      <c r="A384" s="49"/>
      <c r="B384" s="49"/>
      <c r="C384" s="49"/>
      <c r="D384" s="49"/>
      <c r="E384" s="49"/>
      <c r="F384" s="49"/>
      <c r="G384" s="49"/>
      <c r="H384" s="49"/>
      <c r="I384" s="49"/>
      <c r="J384" s="49"/>
      <c r="K384" s="49"/>
      <c r="L384" s="49"/>
      <c r="M384" s="49"/>
      <c r="N384" s="49"/>
      <c r="O384" s="49"/>
      <c r="P384" s="49"/>
      <c r="Q384" s="49"/>
      <c r="R384" s="49"/>
      <c r="S384" s="49"/>
      <c r="T384" s="49"/>
      <c r="U384" s="49"/>
      <c r="V384" s="49"/>
      <c r="W384" s="49"/>
    </row>
    <row r="385" spans="1:47">
      <c r="A385" s="49"/>
      <c r="B385" s="49"/>
      <c r="C385" s="49"/>
      <c r="D385" s="49"/>
      <c r="E385" s="49"/>
      <c r="F385" s="49"/>
      <c r="G385" s="49"/>
      <c r="H385" s="49"/>
      <c r="I385" s="49"/>
      <c r="J385" s="49"/>
      <c r="K385" s="49"/>
      <c r="L385" s="49"/>
      <c r="M385" s="49"/>
      <c r="N385" s="49"/>
      <c r="O385" s="49"/>
      <c r="P385" s="49"/>
      <c r="Q385" s="49"/>
      <c r="R385" s="49"/>
      <c r="S385" s="49"/>
      <c r="T385" s="49"/>
      <c r="U385" s="49"/>
      <c r="V385" s="49"/>
      <c r="W385" s="49"/>
      <c r="AB385" s="303">
        <f t="shared" ref="AB385" si="571">AC385-1</f>
        <v>35</v>
      </c>
      <c r="AC385" s="303">
        <f t="shared" ref="AC385" si="572">AD385-1</f>
        <v>36</v>
      </c>
      <c r="AD385" s="303">
        <f t="shared" ref="AD385" si="573">AE385-1</f>
        <v>37</v>
      </c>
      <c r="AE385" s="303">
        <f t="shared" ref="AE385" si="574">AF385-1</f>
        <v>38</v>
      </c>
      <c r="AF385" s="303">
        <f t="shared" ref="AF385" si="575">AG385-1</f>
        <v>39</v>
      </c>
      <c r="AG385" s="303">
        <f t="shared" ref="AG385" si="576">AH385-1</f>
        <v>40</v>
      </c>
      <c r="AH385" s="303">
        <f t="shared" ref="AH385" si="577">AI385-1</f>
        <v>41</v>
      </c>
      <c r="AI385" s="303">
        <f t="shared" ref="AI385" si="578">AJ385-1</f>
        <v>42</v>
      </c>
      <c r="AJ385" s="303">
        <f t="shared" ref="AJ385" si="579">AK385-1</f>
        <v>43</v>
      </c>
      <c r="AK385" s="303">
        <f t="shared" ref="AK385" si="580">AL385-1</f>
        <v>44</v>
      </c>
      <c r="AL385" s="303">
        <f t="shared" ref="AL385" si="581">AM385-1</f>
        <v>45</v>
      </c>
      <c r="AM385" s="303">
        <f t="shared" ref="AM385" si="582">AN385-1</f>
        <v>46</v>
      </c>
      <c r="AN385" s="303">
        <f t="shared" ref="AN385" si="583">AO385-1</f>
        <v>47</v>
      </c>
      <c r="AO385" s="303">
        <f t="shared" ref="AO385" si="584">AP385-1</f>
        <v>48</v>
      </c>
      <c r="AP385" s="303">
        <f t="shared" ref="AP385" si="585">AQ385-1</f>
        <v>49</v>
      </c>
      <c r="AQ385" s="303">
        <f t="shared" ref="AQ385" si="586">AR385-1</f>
        <v>50</v>
      </c>
      <c r="AR385" s="303">
        <f t="shared" ref="AR385" si="587">AS385-1</f>
        <v>51</v>
      </c>
      <c r="AS385" s="303">
        <f t="shared" ref="AS385" si="588">AT385-1</f>
        <v>52</v>
      </c>
      <c r="AT385" s="303">
        <f t="shared" ref="AT385" si="589">AU385-1</f>
        <v>53</v>
      </c>
      <c r="AU385" s="303">
        <f>VLOOKUP(AU386,Dates!$A:$D,2,FALSE)</f>
        <v>54</v>
      </c>
    </row>
    <row r="386" spans="1:47">
      <c r="A386" s="49"/>
      <c r="B386" s="49"/>
      <c r="C386" s="49"/>
      <c r="D386" s="49"/>
      <c r="E386" s="49"/>
      <c r="F386" s="49"/>
      <c r="G386" s="49"/>
      <c r="H386" s="49"/>
      <c r="I386" s="49"/>
      <c r="J386" s="49"/>
      <c r="K386" s="49"/>
      <c r="L386" s="49"/>
      <c r="M386" s="49"/>
      <c r="N386" s="49"/>
      <c r="O386" s="49"/>
      <c r="P386" s="49"/>
      <c r="Q386" s="49"/>
      <c r="R386" s="49"/>
      <c r="S386" s="49"/>
      <c r="T386" s="49"/>
      <c r="U386" s="49"/>
      <c r="V386" s="49"/>
      <c r="W386" s="49"/>
      <c r="AB386" s="303" t="str">
        <f>IFERROR(VLOOKUP(AB385,Dates!$B:$D,3,FALSE),"")</f>
        <v>3Q20</v>
      </c>
      <c r="AC386" s="303" t="str">
        <f>IFERROR(VLOOKUP(AC385,Dates!$B:$D,3,FALSE),"")</f>
        <v>4Q20</v>
      </c>
      <c r="AD386" s="303" t="str">
        <f>IFERROR(VLOOKUP(AD385,Dates!$B:$D,3,FALSE),"")</f>
        <v>1Q21</v>
      </c>
      <c r="AE386" s="303" t="str">
        <f>IFERROR(VLOOKUP(AE385,Dates!$B:$D,3,FALSE),"")</f>
        <v>2Q21</v>
      </c>
      <c r="AF386" s="303" t="str">
        <f>IFERROR(VLOOKUP(AF385,Dates!$B:$D,3,FALSE),"")</f>
        <v>3Q21</v>
      </c>
      <c r="AG386" s="303" t="str">
        <f>IFERROR(VLOOKUP(AG385,Dates!$B:$D,3,FALSE),"")</f>
        <v>4Q21</v>
      </c>
      <c r="AH386" s="303" t="str">
        <f>IFERROR(VLOOKUP(AH385,Dates!$B:$D,3,FALSE),"")</f>
        <v>1Q22</v>
      </c>
      <c r="AI386" s="303" t="str">
        <f>IFERROR(VLOOKUP(AI385,Dates!$B:$D,3,FALSE),"")</f>
        <v>2Q22</v>
      </c>
      <c r="AJ386" s="303" t="str">
        <f>IFERROR(VLOOKUP(AJ385,Dates!$B:$D,3,FALSE),"")</f>
        <v>3Q22</v>
      </c>
      <c r="AK386" s="303" t="str">
        <f>IFERROR(VLOOKUP(AK385,Dates!$B:$D,3,FALSE),"")</f>
        <v>4Q22</v>
      </c>
      <c r="AL386" s="303" t="str">
        <f>IFERROR(VLOOKUP(AL385,Dates!$B:$D,3,FALSE),"")</f>
        <v>1Q23</v>
      </c>
      <c r="AM386" s="303" t="str">
        <f>IFERROR(VLOOKUP(AM385,Dates!$B:$D,3,FALSE),"")</f>
        <v>2Q23</v>
      </c>
      <c r="AN386" s="303" t="str">
        <f>IFERROR(VLOOKUP(AN385,Dates!$B:$D,3,FALSE),"")</f>
        <v>3Q23</v>
      </c>
      <c r="AO386" s="303" t="str">
        <f>IFERROR(VLOOKUP(AO385,Dates!$B:$D,3,FALSE),"")</f>
        <v>4Q23</v>
      </c>
      <c r="AP386" s="303" t="str">
        <f>IFERROR(VLOOKUP(AP385,Dates!$B:$D,3,FALSE),"")</f>
        <v>1Q24</v>
      </c>
      <c r="AQ386" s="303" t="str">
        <f>IFERROR(VLOOKUP(AQ385,Dates!$B:$D,3,FALSE),"")</f>
        <v>2Q24</v>
      </c>
      <c r="AR386" s="303" t="str">
        <f>IFERROR(VLOOKUP(AR385,Dates!$B:$D,3,FALSE),"")</f>
        <v>3Q24</v>
      </c>
      <c r="AS386" s="303" t="str">
        <f>IFERROR(VLOOKUP(AS385,Dates!$B:$D,3,FALSE),"")</f>
        <v>4Q24</v>
      </c>
      <c r="AT386" s="303" t="str">
        <f>IFERROR(VLOOKUP(AT385,Dates!$B:$D,3,FALSE),"")</f>
        <v>1Q25</v>
      </c>
      <c r="AU386" s="315" t="str">
        <f>$G$3</f>
        <v>2Q25</v>
      </c>
    </row>
    <row r="387" spans="1:47">
      <c r="A387" s="49"/>
      <c r="B387" s="49"/>
      <c r="C387" s="49"/>
      <c r="D387" s="49"/>
      <c r="E387" s="49"/>
      <c r="F387" s="49"/>
      <c r="G387" s="49"/>
      <c r="H387" s="49"/>
      <c r="I387" s="49"/>
      <c r="J387" s="49"/>
      <c r="K387" s="49"/>
      <c r="L387" s="49"/>
      <c r="M387" s="49"/>
      <c r="N387" s="49"/>
      <c r="O387" s="49"/>
      <c r="P387" s="49"/>
      <c r="Q387" s="49"/>
      <c r="R387" s="49"/>
      <c r="S387" s="49"/>
      <c r="T387" s="49"/>
      <c r="U387" s="49"/>
      <c r="V387" s="49"/>
      <c r="W387" s="49"/>
      <c r="AA387" s="316" t="str">
        <f>'Other India financials'!A70</f>
        <v>Capex as % of sales HS</v>
      </c>
      <c r="AB387" s="318">
        <f>IFERROR(INDEX('Other India financials'!$A:$ABB,MATCH($AA387,'Other India financials'!$A:$A,0),MATCH(AB386,'Other India financials'!$1:$1,0)),"")</f>
        <v>0.47968460533260454</v>
      </c>
      <c r="AC387" s="318">
        <f>IFERROR(INDEX('Other India financials'!$A:$ABB,MATCH($AA387,'Other India financials'!$A:$A,0),MATCH(AC386,'Other India financials'!$1:$1,0)),"")</f>
        <v>0.17001831769770065</v>
      </c>
      <c r="AD387" s="318">
        <f>IFERROR(INDEX('Other India financials'!$A:$ABB,MATCH($AA387,'Other India financials'!$A:$A,0),MATCH(AD386,'Other India financials'!$1:$1,0)),"")</f>
        <v>0.20423279810075717</v>
      </c>
      <c r="AE387" s="318">
        <f>IFERROR(INDEX('Other India financials'!$A:$ABB,MATCH($AA387,'Other India financials'!$A:$A,0),MATCH(AE386,'Other India financials'!$1:$1,0)),"")</f>
        <v>0.52552609823534879</v>
      </c>
      <c r="AF387" s="318">
        <f>IFERROR(INDEX('Other India financials'!$A:$ABB,MATCH($AA387,'Other India financials'!$A:$A,0),MATCH(AF386,'Other India financials'!$1:$1,0)),"")</f>
        <v>0.60204690823820117</v>
      </c>
      <c r="AG387" s="318">
        <f>IFERROR(INDEX('Other India financials'!$A:$ABB,MATCH($AA387,'Other India financials'!$A:$A,0),MATCH(AG386,'Other India financials'!$1:$1,0)),"")</f>
        <v>0.5532772427602769</v>
      </c>
      <c r="AH387" s="318">
        <f>IFERROR(INDEX('Other India financials'!$A:$ABB,MATCH($AA387,'Other India financials'!$A:$A,0),MATCH(AH386,'Other India financials'!$1:$1,0)),"")</f>
        <v>0.59577601482309461</v>
      </c>
      <c r="AI387" s="318">
        <f>IFERROR(INDEX('Other India financials'!$A:$ABB,MATCH($AA387,'Other India financials'!$A:$A,0),MATCH(AI386,'Other India financials'!$1:$1,0)),"")</f>
        <v>0.49109022028904165</v>
      </c>
      <c r="AJ387" s="318">
        <f>IFERROR(INDEX('Other India financials'!$A:$ABB,MATCH($AA387,'Other India financials'!$A:$A,0),MATCH(AJ386,'Other India financials'!$1:$1,0)),"")</f>
        <v>0.50974583404220364</v>
      </c>
      <c r="AK387" s="318">
        <f>IFERROR(INDEX('Other India financials'!$A:$ABB,MATCH($AA387,'Other India financials'!$A:$A,0),MATCH(AK386,'Other India financials'!$1:$1,0)),"")</f>
        <v>0.56696600626587756</v>
      </c>
      <c r="AL387" s="318">
        <f>IFERROR(INDEX('Other India financials'!$A:$ABB,MATCH($AA387,'Other India financials'!$A:$A,0),MATCH(AL386,'Other India financials'!$1:$1,0)),"")</f>
        <v>0.7128152157679396</v>
      </c>
      <c r="AM387" s="318">
        <f>IFERROR(INDEX('Other India financials'!$A:$ABB,MATCH($AA387,'Other India financials'!$A:$A,0),MATCH(AM386,'Other India financials'!$1:$1,0)),"")</f>
        <v>0.59465552122216869</v>
      </c>
      <c r="AN387" s="318">
        <f>IFERROR(INDEX('Other India financials'!$A:$ABB,MATCH($AA387,'Other India financials'!$A:$A,0),MATCH(AN386,'Other India financials'!$1:$1,0)),"")</f>
        <v>0.48013648124788977</v>
      </c>
      <c r="AO387" s="318">
        <f>IFERROR(INDEX('Other India financials'!$A:$ABB,MATCH($AA387,'Other India financials'!$A:$A,0),MATCH(AO386,'Other India financials'!$1:$1,0)),"")</f>
        <v>0.39029975101556441</v>
      </c>
      <c r="AP387" s="318">
        <f>IFERROR(INDEX('Other India financials'!$A:$ABB,MATCH($AA387,'Other India financials'!$A:$A,0),MATCH(AP386,'Other India financials'!$1:$1,0)),"")</f>
        <v>0.42983900803995173</v>
      </c>
      <c r="AQ387" s="318">
        <f>IFERROR(INDEX('Other India financials'!$A:$ABB,MATCH($AA387,'Other India financials'!$A:$A,0),MATCH(AQ386,'Other India financials'!$1:$1,0)),"")</f>
        <v>0.62007081671674824</v>
      </c>
      <c r="AR387" s="318">
        <f>IFERROR(INDEX('Other India financials'!$A:$ABB,MATCH($AA387,'Other India financials'!$A:$A,0),MATCH(AR386,'Other India financials'!$1:$1,0)),"")</f>
        <v>0.61461503940560802</v>
      </c>
      <c r="AS387" s="318">
        <f>IFERROR(INDEX('Other India financials'!$A:$ABB,MATCH($AA387,'Other India financials'!$A:$A,0),MATCH(AS386,'Other India financials'!$1:$1,0)),"")</f>
        <v>0.62006800383909766</v>
      </c>
      <c r="AT387" s="318">
        <f>IFERROR(INDEX('Other India financials'!$A:$ABB,MATCH($AA387,'Other India financials'!$A:$A,0),MATCH(AT386,'Other India financials'!$1:$1,0)),"")</f>
        <v>0.51735816079762809</v>
      </c>
      <c r="AU387" s="318">
        <f>IFERROR(INDEX('Other India financials'!$A:$ABB,MATCH($AA387,'Other India financials'!$A:$A,0),MATCH(AU386,'Other India financials'!$1:$1,0)),"")</f>
        <v>0.66057268605907404</v>
      </c>
    </row>
    <row r="388" spans="1:47">
      <c r="A388" s="49"/>
      <c r="B388" s="49"/>
      <c r="C388" s="49"/>
      <c r="D388" s="49"/>
      <c r="E388" s="49"/>
      <c r="F388" s="49"/>
      <c r="G388" s="49"/>
      <c r="H388" s="49"/>
      <c r="I388" s="49"/>
      <c r="J388" s="49"/>
      <c r="K388" s="49"/>
      <c r="L388" s="49"/>
      <c r="M388" s="49"/>
      <c r="N388" s="49"/>
      <c r="O388" s="49"/>
      <c r="P388" s="49"/>
      <c r="Q388" s="49"/>
      <c r="R388" s="49"/>
      <c r="S388" s="49"/>
      <c r="T388" s="49"/>
      <c r="U388" s="49"/>
      <c r="V388" s="49"/>
      <c r="W388" s="49"/>
      <c r="AA388" s="316" t="str">
        <f>'Other India financials'!A84</f>
        <v>Capex as % of sales DTV</v>
      </c>
      <c r="AB388" s="318">
        <f>IFERROR(INDEX('Other India financials'!$A:$ABB,MATCH($AA388,'Other India financials'!$A:$A,0),MATCH(AB386,'Other India financials'!$1:$1,0)),"")</f>
        <v>0.44301416588739906</v>
      </c>
      <c r="AC388" s="318">
        <f>IFERROR(INDEX('Other India financials'!$A:$ABB,MATCH($AA388,'Other India financials'!$A:$A,0),MATCH(AC386,'Other India financials'!$1:$1,0)),"")</f>
        <v>0.4166465831948778</v>
      </c>
      <c r="AD388" s="318">
        <f>IFERROR(INDEX('Other India financials'!$A:$ABB,MATCH($AA388,'Other India financials'!$A:$A,0),MATCH(AD386,'Other India financials'!$1:$1,0)),"")</f>
        <v>0.32990354176558856</v>
      </c>
      <c r="AE388" s="318">
        <f>IFERROR(INDEX('Other India financials'!$A:$ABB,MATCH($AA388,'Other India financials'!$A:$A,0),MATCH(AE386,'Other India financials'!$1:$1,0)),"")</f>
        <v>0.45957299148794928</v>
      </c>
      <c r="AF388" s="318">
        <f>IFERROR(INDEX('Other India financials'!$A:$ABB,MATCH($AA388,'Other India financials'!$A:$A,0),MATCH(AF386,'Other India financials'!$1:$1,0)),"")</f>
        <v>0.4088056873060506</v>
      </c>
      <c r="AG388" s="318">
        <f>IFERROR(INDEX('Other India financials'!$A:$ABB,MATCH($AA388,'Other India financials'!$A:$A,0),MATCH(AG386,'Other India financials'!$1:$1,0)),"")</f>
        <v>0.4809436246725356</v>
      </c>
      <c r="AH388" s="318">
        <f>IFERROR(INDEX('Other India financials'!$A:$ABB,MATCH($AA388,'Other India financials'!$A:$A,0),MATCH(AH386,'Other India financials'!$1:$1,0)),"")</f>
        <v>0.36216998856041266</v>
      </c>
      <c r="AI388" s="318">
        <f>IFERROR(INDEX('Other India financials'!$A:$ABB,MATCH($AA388,'Other India financials'!$A:$A,0),MATCH(AI386,'Other India financials'!$1:$1,0)),"")</f>
        <v>0.32322346158666498</v>
      </c>
      <c r="AJ388" s="318">
        <f>IFERROR(INDEX('Other India financials'!$A:$ABB,MATCH($AA388,'Other India financials'!$A:$A,0),MATCH(AJ386,'Other India financials'!$1:$1,0)),"")</f>
        <v>0.5527704715932904</v>
      </c>
      <c r="AK388" s="318">
        <f>IFERROR(INDEX('Other India financials'!$A:$ABB,MATCH($AA388,'Other India financials'!$A:$A,0),MATCH(AK386,'Other India financials'!$1:$1,0)),"")</f>
        <v>0.41623268075646225</v>
      </c>
      <c r="AL388" s="318">
        <f>IFERROR(INDEX('Other India financials'!$A:$ABB,MATCH($AA388,'Other India financials'!$A:$A,0),MATCH(AL386,'Other India financials'!$1:$1,0)),"")</f>
        <v>0.33008731771294314</v>
      </c>
      <c r="AM388" s="318">
        <f>IFERROR(INDEX('Other India financials'!$A:$ABB,MATCH($AA388,'Other India financials'!$A:$A,0),MATCH(AM386,'Other India financials'!$1:$1,0)),"")</f>
        <v>0.41899308173194805</v>
      </c>
      <c r="AN388" s="318">
        <f>IFERROR(INDEX('Other India financials'!$A:$ABB,MATCH($AA388,'Other India financials'!$A:$A,0),MATCH(AN386,'Other India financials'!$1:$1,0)),"")</f>
        <v>0.61352221967628584</v>
      </c>
      <c r="AO388" s="318">
        <f>IFERROR(INDEX('Other India financials'!$A:$ABB,MATCH($AA388,'Other India financials'!$A:$A,0),MATCH(AO386,'Other India financials'!$1:$1,0)),"")</f>
        <v>0.48614509552627627</v>
      </c>
      <c r="AP388" s="318">
        <f>IFERROR(INDEX('Other India financials'!$A:$ABB,MATCH($AA388,'Other India financials'!$A:$A,0),MATCH(AP386,'Other India financials'!$1:$1,0)),"")</f>
        <v>0.51910856988497323</v>
      </c>
      <c r="AQ388" s="318">
        <f>IFERROR(INDEX('Other India financials'!$A:$ABB,MATCH($AA388,'Other India financials'!$A:$A,0),MATCH(AQ386,'Other India financials'!$1:$1,0)),"")</f>
        <v>0.49966112862129547</v>
      </c>
      <c r="AR388" s="318">
        <f>IFERROR(INDEX('Other India financials'!$A:$ABB,MATCH($AA388,'Other India financials'!$A:$A,0),MATCH(AR386,'Other India financials'!$1:$1,0)),"")</f>
        <v>0.47425495547617941</v>
      </c>
      <c r="AS388" s="318">
        <f>IFERROR(INDEX('Other India financials'!$A:$ABB,MATCH($AA388,'Other India financials'!$A:$A,0),MATCH(AS386,'Other India financials'!$1:$1,0)),"")</f>
        <v>0.39913125762350221</v>
      </c>
      <c r="AT388" s="318">
        <f>IFERROR(INDEX('Other India financials'!$A:$ABB,MATCH($AA388,'Other India financials'!$A:$A,0),MATCH(AT386,'Other India financials'!$1:$1,0)),"")</f>
        <v>0.52478428181701198</v>
      </c>
      <c r="AU388" s="318">
        <f>IFERROR(INDEX('Other India financials'!$A:$ABB,MATCH($AA388,'Other India financials'!$A:$A,0),MATCH(AU386,'Other India financials'!$1:$1,0)),"")</f>
        <v>0.56046307447930399</v>
      </c>
    </row>
    <row r="389" spans="1:47">
      <c r="A389" s="49"/>
      <c r="B389" s="49"/>
      <c r="C389" s="49"/>
      <c r="D389" s="49"/>
      <c r="E389" s="49"/>
      <c r="F389" s="49"/>
      <c r="G389" s="49"/>
      <c r="H389" s="49"/>
      <c r="I389" s="49"/>
      <c r="J389" s="49"/>
      <c r="K389" s="49"/>
      <c r="L389" s="49"/>
      <c r="M389" s="49"/>
      <c r="N389" s="49"/>
      <c r="O389" s="49"/>
      <c r="P389" s="49"/>
      <c r="Q389" s="49"/>
      <c r="R389" s="49"/>
      <c r="S389" s="49"/>
      <c r="T389" s="49"/>
      <c r="U389" s="49"/>
      <c r="V389" s="49"/>
      <c r="W389" s="49"/>
      <c r="AA389" s="316" t="str">
        <f>'Other India financials'!A97</f>
        <v>Capex as % of sales Bus.</v>
      </c>
      <c r="AB389" s="318">
        <f>IFERROR(INDEX('Other India financials'!$A:$ABB,MATCH($AA389,'Other India financials'!$A:$A,0),MATCH(AB386,'Other India financials'!$1:$1,0)),"")</f>
        <v>0.22991063414520085</v>
      </c>
      <c r="AC389" s="318">
        <f>IFERROR(INDEX('Other India financials'!$A:$ABB,MATCH($AA389,'Other India financials'!$A:$A,0),MATCH(AC386,'Other India financials'!$1:$1,0)),"")</f>
        <v>0.55724580753745079</v>
      </c>
      <c r="AD389" s="318">
        <f>IFERROR(INDEX('Other India financials'!$A:$ABB,MATCH($AA389,'Other India financials'!$A:$A,0),MATCH(AD386,'Other India financials'!$1:$1,0)),"")</f>
        <v>0.11958743046466967</v>
      </c>
      <c r="AE389" s="318">
        <f>IFERROR(INDEX('Other India financials'!$A:$ABB,MATCH($AA389,'Other India financials'!$A:$A,0),MATCH(AE386,'Other India financials'!$1:$1,0)),"")</f>
        <v>0.15460003578578838</v>
      </c>
      <c r="AF389" s="318">
        <f>IFERROR(INDEX('Other India financials'!$A:$ABB,MATCH($AA389,'Other India financials'!$A:$A,0),MATCH(AF386,'Other India financials'!$1:$1,0)),"")</f>
        <v>0.14423048623479229</v>
      </c>
      <c r="AG389" s="318">
        <f>IFERROR(INDEX('Other India financials'!$A:$ABB,MATCH($AA389,'Other India financials'!$A:$A,0),MATCH(AG386,'Other India financials'!$1:$1,0)),"")</f>
        <v>0.1892488220731903</v>
      </c>
      <c r="AH389" s="318">
        <f>IFERROR(INDEX('Other India financials'!$A:$ABB,MATCH($AA389,'Other India financials'!$A:$A,0),MATCH(AH386,'Other India financials'!$1:$1,0)),"")</f>
        <v>0.17330791819164187</v>
      </c>
      <c r="AI389" s="318">
        <f>IFERROR(INDEX('Other India financials'!$A:$ABB,MATCH($AA389,'Other India financials'!$A:$A,0),MATCH(AI386,'Other India financials'!$1:$1,0)),"")</f>
        <v>0.140715340525117</v>
      </c>
      <c r="AJ389" s="318">
        <f>IFERROR(INDEX('Other India financials'!$A:$ABB,MATCH($AA389,'Other India financials'!$A:$A,0),MATCH(AJ386,'Other India financials'!$1:$1,0)),"")</f>
        <v>0.20379867334449828</v>
      </c>
      <c r="AK389" s="318">
        <f>IFERROR(INDEX('Other India financials'!$A:$ABB,MATCH($AA389,'Other India financials'!$A:$A,0),MATCH(AK386,'Other India financials'!$1:$1,0)),"")</f>
        <v>0.20283999490857788</v>
      </c>
      <c r="AL389" s="318">
        <f>IFERROR(INDEX('Other India financials'!$A:$ABB,MATCH($AA389,'Other India financials'!$A:$A,0),MATCH(AL386,'Other India financials'!$1:$1,0)),"")</f>
        <v>0.15715783840317671</v>
      </c>
      <c r="AM389" s="318">
        <f>IFERROR(INDEX('Other India financials'!$A:$ABB,MATCH($AA389,'Other India financials'!$A:$A,0),MATCH(AM386,'Other India financials'!$1:$1,0)),"")</f>
        <v>0.18849373518438414</v>
      </c>
      <c r="AN389" s="318">
        <f>IFERROR(INDEX('Other India financials'!$A:$ABB,MATCH($AA389,'Other India financials'!$A:$A,0),MATCH(AN386,'Other India financials'!$1:$1,0)),"")</f>
        <v>0.16032873999452465</v>
      </c>
      <c r="AO389" s="318">
        <f>IFERROR(INDEX('Other India financials'!$A:$ABB,MATCH($AA389,'Other India financials'!$A:$A,0),MATCH(AO386,'Other India financials'!$1:$1,0)),"")</f>
        <v>0.32599812308314052</v>
      </c>
      <c r="AP389" s="318">
        <f>IFERROR(INDEX('Other India financials'!$A:$ABB,MATCH($AA389,'Other India financials'!$A:$A,0),MATCH(AP386,'Other India financials'!$1:$1,0)),"")</f>
        <v>0.1214707967739279</v>
      </c>
      <c r="AQ389" s="318">
        <f>IFERROR(INDEX('Other India financials'!$A:$ABB,MATCH($AA389,'Other India financials'!$A:$A,0),MATCH(AQ386,'Other India financials'!$1:$1,0)),"")</f>
        <v>0.18792175889953375</v>
      </c>
      <c r="AR389" s="318">
        <f>IFERROR(INDEX('Other India financials'!$A:$ABB,MATCH($AA389,'Other India financials'!$A:$A,0),MATCH(AR386,'Other India financials'!$1:$1,0)),"")</f>
        <v>0.16458728223823108</v>
      </c>
      <c r="AS389" s="318">
        <f>IFERROR(INDEX('Other India financials'!$A:$ABB,MATCH($AA389,'Other India financials'!$A:$A,0),MATCH(AS386,'Other India financials'!$1:$1,0)),"")</f>
        <v>0.24869052351782581</v>
      </c>
      <c r="AT389" s="318">
        <f>IFERROR(INDEX('Other India financials'!$A:$ABB,MATCH($AA389,'Other India financials'!$A:$A,0),MATCH(AT386,'Other India financials'!$1:$1,0)),"")</f>
        <v>0.14937742666343215</v>
      </c>
      <c r="AU389" s="318">
        <f>IFERROR(INDEX('Other India financials'!$A:$ABB,MATCH($AA389,'Other India financials'!$A:$A,0),MATCH(AU386,'Other India financials'!$1:$1,0)),"")</f>
        <v>0.15924633758110429</v>
      </c>
    </row>
    <row r="390" spans="1:47">
      <c r="A390" s="49"/>
      <c r="B390" s="49"/>
      <c r="C390" s="49"/>
      <c r="D390" s="49"/>
      <c r="E390" s="49"/>
      <c r="F390" s="49"/>
      <c r="G390" s="49"/>
      <c r="H390" s="49"/>
      <c r="I390" s="49"/>
      <c r="J390" s="49"/>
      <c r="K390" s="49"/>
      <c r="L390" s="49"/>
      <c r="M390" s="49"/>
      <c r="N390" s="49"/>
      <c r="O390" s="49"/>
      <c r="P390" s="49"/>
      <c r="Q390" s="49"/>
      <c r="R390" s="49"/>
      <c r="S390" s="49"/>
      <c r="T390" s="49"/>
      <c r="U390" s="49"/>
      <c r="V390" s="49"/>
      <c r="W390" s="49"/>
    </row>
    <row r="391" spans="1:47">
      <c r="A391" s="49"/>
      <c r="B391" s="49"/>
      <c r="C391" s="49"/>
      <c r="D391" s="49"/>
      <c r="E391" s="49"/>
      <c r="F391" s="49"/>
      <c r="G391" s="49"/>
      <c r="H391" s="49"/>
      <c r="I391" s="49"/>
      <c r="J391" s="49"/>
      <c r="K391" s="49"/>
      <c r="L391" s="49"/>
      <c r="M391" s="49"/>
      <c r="N391" s="49"/>
      <c r="O391" s="49"/>
      <c r="P391" s="49"/>
      <c r="Q391" s="49"/>
      <c r="R391" s="49"/>
      <c r="S391" s="49"/>
      <c r="T391" s="49"/>
      <c r="U391" s="49"/>
      <c r="V391" s="49"/>
      <c r="W391" s="49"/>
    </row>
    <row r="392" spans="1:47">
      <c r="A392" s="49"/>
      <c r="B392" s="49"/>
      <c r="C392" s="49"/>
      <c r="D392" s="49"/>
      <c r="E392" s="49"/>
      <c r="F392" s="49"/>
      <c r="G392" s="49"/>
      <c r="H392" s="49"/>
      <c r="I392" s="49"/>
      <c r="J392" s="49"/>
      <c r="K392" s="49"/>
      <c r="L392" s="49"/>
      <c r="M392" s="49"/>
      <c r="N392" s="49"/>
      <c r="O392" s="49"/>
      <c r="P392" s="49"/>
      <c r="Q392" s="49"/>
      <c r="R392" s="49"/>
      <c r="S392" s="49"/>
      <c r="T392" s="49"/>
      <c r="U392" s="49"/>
      <c r="V392" s="49"/>
      <c r="W392" s="49"/>
      <c r="AB392" s="303">
        <f t="shared" ref="AB392" si="590">AC392-1</f>
        <v>35</v>
      </c>
      <c r="AC392" s="303">
        <f t="shared" ref="AC392" si="591">AD392-1</f>
        <v>36</v>
      </c>
      <c r="AD392" s="303">
        <f t="shared" ref="AD392" si="592">AE392-1</f>
        <v>37</v>
      </c>
      <c r="AE392" s="303">
        <f t="shared" ref="AE392" si="593">AF392-1</f>
        <v>38</v>
      </c>
      <c r="AF392" s="303">
        <f t="shared" ref="AF392" si="594">AG392-1</f>
        <v>39</v>
      </c>
      <c r="AG392" s="303">
        <f t="shared" ref="AG392" si="595">AH392-1</f>
        <v>40</v>
      </c>
      <c r="AH392" s="303">
        <f t="shared" ref="AH392" si="596">AI392-1</f>
        <v>41</v>
      </c>
      <c r="AI392" s="303">
        <f t="shared" ref="AI392" si="597">AJ392-1</f>
        <v>42</v>
      </c>
      <c r="AJ392" s="303">
        <f t="shared" ref="AJ392" si="598">AK392-1</f>
        <v>43</v>
      </c>
      <c r="AK392" s="303">
        <f t="shared" ref="AK392" si="599">AL392-1</f>
        <v>44</v>
      </c>
      <c r="AL392" s="303">
        <f t="shared" ref="AL392" si="600">AM392-1</f>
        <v>45</v>
      </c>
      <c r="AM392" s="303">
        <f t="shared" ref="AM392" si="601">AN392-1</f>
        <v>46</v>
      </c>
      <c r="AN392" s="303">
        <f t="shared" ref="AN392" si="602">AO392-1</f>
        <v>47</v>
      </c>
      <c r="AO392" s="303">
        <f t="shared" ref="AO392" si="603">AP392-1</f>
        <v>48</v>
      </c>
      <c r="AP392" s="303">
        <f t="shared" ref="AP392" si="604">AQ392-1</f>
        <v>49</v>
      </c>
      <c r="AQ392" s="303">
        <f t="shared" ref="AQ392" si="605">AR392-1</f>
        <v>50</v>
      </c>
      <c r="AR392" s="303">
        <f t="shared" ref="AR392" si="606">AS392-1</f>
        <v>51</v>
      </c>
      <c r="AS392" s="303">
        <f t="shared" ref="AS392" si="607">AT392-1</f>
        <v>52</v>
      </c>
      <c r="AT392" s="303">
        <f t="shared" ref="AT392" si="608">AU392-1</f>
        <v>53</v>
      </c>
      <c r="AU392" s="303">
        <f>VLOOKUP(AU393,Dates!$A:$D,2,FALSE)</f>
        <v>54</v>
      </c>
    </row>
    <row r="393" spans="1:47">
      <c r="A393" s="49"/>
      <c r="B393" s="49"/>
      <c r="C393" s="49"/>
      <c r="D393" s="49"/>
      <c r="E393" s="49"/>
      <c r="F393" s="49"/>
      <c r="G393" s="49"/>
      <c r="H393" s="49"/>
      <c r="I393" s="49"/>
      <c r="J393" s="49"/>
      <c r="K393" s="49"/>
      <c r="L393" s="49"/>
      <c r="M393" s="49"/>
      <c r="N393" s="49"/>
      <c r="O393" s="49"/>
      <c r="P393" s="49"/>
      <c r="Q393" s="49"/>
      <c r="R393" s="49"/>
      <c r="S393" s="49"/>
      <c r="T393" s="49"/>
      <c r="U393" s="49"/>
      <c r="V393" s="49"/>
      <c r="W393" s="49"/>
      <c r="AB393" s="303" t="str">
        <f>IFERROR(VLOOKUP(AB392,Dates!$B:$D,3,FALSE),"")</f>
        <v>3Q20</v>
      </c>
      <c r="AC393" s="303" t="str">
        <f>IFERROR(VLOOKUP(AC392,Dates!$B:$D,3,FALSE),"")</f>
        <v>4Q20</v>
      </c>
      <c r="AD393" s="303" t="str">
        <f>IFERROR(VLOOKUP(AD392,Dates!$B:$D,3,FALSE),"")</f>
        <v>1Q21</v>
      </c>
      <c r="AE393" s="303" t="str">
        <f>IFERROR(VLOOKUP(AE392,Dates!$B:$D,3,FALSE),"")</f>
        <v>2Q21</v>
      </c>
      <c r="AF393" s="303" t="str">
        <f>IFERROR(VLOOKUP(AF392,Dates!$B:$D,3,FALSE),"")</f>
        <v>3Q21</v>
      </c>
      <c r="AG393" s="303" t="str">
        <f>IFERROR(VLOOKUP(AG392,Dates!$B:$D,3,FALSE),"")</f>
        <v>4Q21</v>
      </c>
      <c r="AH393" s="303" t="str">
        <f>IFERROR(VLOOKUP(AH392,Dates!$B:$D,3,FALSE),"")</f>
        <v>1Q22</v>
      </c>
      <c r="AI393" s="303" t="str">
        <f>IFERROR(VLOOKUP(AI392,Dates!$B:$D,3,FALSE),"")</f>
        <v>2Q22</v>
      </c>
      <c r="AJ393" s="303" t="str">
        <f>IFERROR(VLOOKUP(AJ392,Dates!$B:$D,3,FALSE),"")</f>
        <v>3Q22</v>
      </c>
      <c r="AK393" s="303" t="str">
        <f>IFERROR(VLOOKUP(AK392,Dates!$B:$D,3,FALSE),"")</f>
        <v>4Q22</v>
      </c>
      <c r="AL393" s="303" t="str">
        <f>IFERROR(VLOOKUP(AL392,Dates!$B:$D,3,FALSE),"")</f>
        <v>1Q23</v>
      </c>
      <c r="AM393" s="303" t="str">
        <f>IFERROR(VLOOKUP(AM392,Dates!$B:$D,3,FALSE),"")</f>
        <v>2Q23</v>
      </c>
      <c r="AN393" s="303" t="str">
        <f>IFERROR(VLOOKUP(AN392,Dates!$B:$D,3,FALSE),"")</f>
        <v>3Q23</v>
      </c>
      <c r="AO393" s="303" t="str">
        <f>IFERROR(VLOOKUP(AO392,Dates!$B:$D,3,FALSE),"")</f>
        <v>4Q23</v>
      </c>
      <c r="AP393" s="303" t="str">
        <f>IFERROR(VLOOKUP(AP392,Dates!$B:$D,3,FALSE),"")</f>
        <v>1Q24</v>
      </c>
      <c r="AQ393" s="303" t="str">
        <f>IFERROR(VLOOKUP(AQ392,Dates!$B:$D,3,FALSE),"")</f>
        <v>2Q24</v>
      </c>
      <c r="AR393" s="303" t="str">
        <f>IFERROR(VLOOKUP(AR392,Dates!$B:$D,3,FALSE),"")</f>
        <v>3Q24</v>
      </c>
      <c r="AS393" s="303" t="str">
        <f>IFERROR(VLOOKUP(AS392,Dates!$B:$D,3,FALSE),"")</f>
        <v>4Q24</v>
      </c>
      <c r="AT393" s="303" t="str">
        <f>IFERROR(VLOOKUP(AT392,Dates!$B:$D,3,FALSE),"")</f>
        <v>1Q25</v>
      </c>
      <c r="AU393" s="315" t="str">
        <f>$G$3</f>
        <v>2Q25</v>
      </c>
    </row>
    <row r="394" spans="1:47">
      <c r="A394" s="49"/>
      <c r="B394" s="49"/>
      <c r="C394" s="49"/>
      <c r="D394" s="49"/>
      <c r="E394" s="49"/>
      <c r="F394" s="49"/>
      <c r="G394" s="49"/>
      <c r="H394" s="49"/>
      <c r="I394" s="49"/>
      <c r="J394" s="49"/>
      <c r="K394" s="49"/>
      <c r="L394" s="49"/>
      <c r="M394" s="49"/>
      <c r="N394" s="49"/>
      <c r="O394" s="49"/>
      <c r="P394" s="49"/>
      <c r="Q394" s="49"/>
      <c r="R394" s="49"/>
      <c r="S394" s="49"/>
      <c r="T394" s="49"/>
      <c r="U394" s="49"/>
      <c r="V394" s="49"/>
      <c r="W394" s="49"/>
      <c r="AA394" s="316" t="str">
        <f>'Other India financials'!A11</f>
        <v>Operating Free Cash Flow HS</v>
      </c>
      <c r="AB394" s="317">
        <f>IFERROR(INDEX('Other India financials'!$A:$ABB,MATCH($AA394,'Other India financials'!$A:$A,0),MATCH(AB393,'Other India financials'!$1:$1,0)),"")</f>
        <v>641.82941039800153</v>
      </c>
      <c r="AC394" s="317">
        <f>IFERROR(INDEX('Other India financials'!$A:$ABB,MATCH($AA394,'Other India financials'!$A:$A,0),MATCH(AC393,'Other India financials'!$1:$1,0)),"")</f>
        <v>2038.4271791949673</v>
      </c>
      <c r="AD394" s="317">
        <f>IFERROR(INDEX('Other India financials'!$A:$ABB,MATCH($AA394,'Other India financials'!$A:$A,0),MATCH(AD393,'Other India financials'!$1:$1,0)),"")</f>
        <v>2332.1751950037597</v>
      </c>
      <c r="AE394" s="317">
        <f>IFERROR(INDEX('Other India financials'!$A:$ABB,MATCH($AA394,'Other India financials'!$A:$A,0),MATCH(AE393,'Other India financials'!$1:$1,0)),"")</f>
        <v>337.83171862672816</v>
      </c>
      <c r="AF394" s="317">
        <f>IFERROR(INDEX('Other India financials'!$A:$ABB,MATCH($AA394,'Other India financials'!$A:$A,0),MATCH(AF393,'Other India financials'!$1:$1,0)),"")</f>
        <v>-264.92736305811331</v>
      </c>
      <c r="AG394" s="317">
        <f>IFERROR(INDEX('Other India financials'!$A:$ABB,MATCH($AA394,'Other India financials'!$A:$A,0),MATCH(AG393,'Other India financials'!$1:$1,0)),"")</f>
        <v>19.872495218217864</v>
      </c>
      <c r="AH394" s="317">
        <f>IFERROR(INDEX('Other India financials'!$A:$ABB,MATCH($AA394,'Other India financials'!$A:$A,0),MATCH(AH393,'Other India financials'!$1:$1,0)),"")</f>
        <v>-662.45683916889493</v>
      </c>
      <c r="AI394" s="317">
        <f>IFERROR(INDEX('Other India financials'!$A:$ABB,MATCH($AA394,'Other India financials'!$A:$A,0),MATCH(AI393,'Other India financials'!$1:$1,0)),"")</f>
        <v>279</v>
      </c>
      <c r="AJ394" s="317">
        <f>IFERROR(INDEX('Other India financials'!$A:$ABB,MATCH($AA394,'Other India financials'!$A:$A,0),MATCH(AJ393,'Other India financials'!$1:$1,0)),"")</f>
        <v>295.4888410422036</v>
      </c>
      <c r="AK394" s="317">
        <f>IFERROR(INDEX('Other India financials'!$A:$ABB,MATCH($AA394,'Other India financials'!$A:$A,0),MATCH(AK393,'Other India financials'!$1:$1,0)),"")</f>
        <v>-194.21982031811331</v>
      </c>
      <c r="AL394" s="317">
        <f>IFERROR(INDEX('Other India financials'!$A:$ABB,MATCH($AA394,'Other India financials'!$A:$A,0),MATCH(AL393,'Other India financials'!$1:$1,0)),"")</f>
        <v>-1676.8538652684001</v>
      </c>
      <c r="AM394" s="317">
        <f>IFERROR(INDEX('Other India financials'!$A:$ABB,MATCH($AA394,'Other India financials'!$A:$A,0),MATCH(AM393,'Other India financials'!$1:$1,0)),"")</f>
        <v>-902.96741856482276</v>
      </c>
      <c r="AN394" s="317">
        <f>IFERROR(INDEX('Other India financials'!$A:$ABB,MATCH($AA394,'Other India financials'!$A:$A,0),MATCH(AN393,'Other India financials'!$1:$1,0)),"")</f>
        <v>206.77548468685927</v>
      </c>
      <c r="AO394" s="317">
        <f>IFERROR(INDEX('Other India financials'!$A:$ABB,MATCH($AA394,'Other India financials'!$A:$A,0),MATCH(AO393,'Other India financials'!$1:$1,0)),"")</f>
        <v>1246.1770708131362</v>
      </c>
      <c r="AP394" s="317">
        <f>IFERROR(INDEX('Other India financials'!$A:$ABB,MATCH($AA394,'Other India financials'!$A:$A,0),MATCH(AP393,'Other India financials'!$1:$1,0)),"")</f>
        <v>865.30569901044873</v>
      </c>
      <c r="AQ394" s="317">
        <f>IFERROR(INDEX('Other India financials'!$A:$ABB,MATCH($AA394,'Other India financials'!$A:$A,0),MATCH(AQ393,'Other India financials'!$1:$1,0)),"")</f>
        <v>-1496.0456486148496</v>
      </c>
      <c r="AR394" s="317">
        <f>IFERROR(INDEX('Other India financials'!$A:$ABB,MATCH($AA394,'Other India financials'!$A:$A,0),MATCH(AR393,'Other India financials'!$1:$1,0)),"")</f>
        <v>-1433.1827161427573</v>
      </c>
      <c r="AS394" s="317">
        <f>IFERROR(INDEX('Other India financials'!$A:$ABB,MATCH($AA394,'Other India financials'!$A:$A,0),MATCH(AS393,'Other India financials'!$1:$1,0)),"")</f>
        <v>-1591.4797135429681</v>
      </c>
      <c r="AT394" s="317">
        <f>IFERROR(INDEX('Other India financials'!$A:$ABB,MATCH($AA394,'Other India financials'!$A:$A,0),MATCH(AT393,'Other India financials'!$1:$1,0)),"")</f>
        <v>-205.28605810357658</v>
      </c>
      <c r="AU394" s="317">
        <f>IFERROR(INDEX('Other India financials'!$A:$ABB,MATCH($AA394,'Other India financials'!$A:$A,0),MATCH(AU393,'Other India financials'!$1:$1,0)),"")</f>
        <v>-2257.0614370519997</v>
      </c>
    </row>
    <row r="395" spans="1:47">
      <c r="A395" s="49"/>
      <c r="B395" s="49"/>
      <c r="C395" s="49"/>
      <c r="D395" s="49"/>
      <c r="E395" s="49"/>
      <c r="F395" s="49"/>
      <c r="G395" s="49"/>
      <c r="H395" s="49"/>
      <c r="I395" s="49"/>
      <c r="J395" s="49"/>
      <c r="K395" s="49"/>
      <c r="L395" s="49"/>
      <c r="M395" s="49"/>
      <c r="N395" s="49"/>
      <c r="O395" s="49"/>
      <c r="P395" s="49"/>
      <c r="Q395" s="49"/>
      <c r="R395" s="49"/>
      <c r="S395" s="49"/>
      <c r="T395" s="49"/>
      <c r="U395" s="49"/>
      <c r="V395" s="49"/>
      <c r="W395" s="49"/>
      <c r="AA395" s="316" t="str">
        <f>'Other India financials'!A20</f>
        <v>Operating Free Cash Flow DTV</v>
      </c>
      <c r="AB395" s="317">
        <f>IFERROR(INDEX('Other India financials'!$A:$ABB,MATCH($AA395,'Other India financials'!$A:$A,0),MATCH(AB393,'Other India financials'!$1:$1,0)),"")</f>
        <v>1931.2709365999976</v>
      </c>
      <c r="AC395" s="317">
        <f>IFERROR(INDEX('Other India financials'!$A:$ABB,MATCH($AA395,'Other India financials'!$A:$A,0),MATCH(AC393,'Other India financials'!$1:$1,0)),"")</f>
        <v>1133.7910831130034</v>
      </c>
      <c r="AD395" s="317">
        <f>IFERROR(INDEX('Other India financials'!$A:$ABB,MATCH($AA395,'Other India financials'!$A:$A,0),MATCH(AD393,'Other India financials'!$1:$1,0)),"")</f>
        <v>2583.9400835999995</v>
      </c>
      <c r="AE395" s="317">
        <f>IFERROR(INDEX('Other India financials'!$A:$ABB,MATCH($AA395,'Other India financials'!$A:$A,0),MATCH(AE393,'Other India financials'!$1:$1,0)),"")</f>
        <v>1881.8754860000004</v>
      </c>
      <c r="AF395" s="317">
        <f>IFERROR(INDEX('Other India financials'!$A:$ABB,MATCH($AA395,'Other India financials'!$A:$A,0),MATCH(AF393,'Other India financials'!$1:$1,0)),"")</f>
        <v>2065.1625624699991</v>
      </c>
      <c r="AG395" s="317">
        <f>IFERROR(INDEX('Other India financials'!$A:$ABB,MATCH($AA395,'Other India financials'!$A:$A,0),MATCH(AG393,'Other India financials'!$1:$1,0)),"")</f>
        <v>1414.6959665600043</v>
      </c>
      <c r="AH395" s="317">
        <f>IFERROR(INDEX('Other India financials'!$A:$ABB,MATCH($AA395,'Other India financials'!$A:$A,0),MATCH(AH393,'Other India financials'!$1:$1,0)),"")</f>
        <v>2489.181279935</v>
      </c>
      <c r="AI395" s="317">
        <f>IFERROR(INDEX('Other India financials'!$A:$ABB,MATCH($AA395,'Other India financials'!$A:$A,0),MATCH(AI393,'Other India financials'!$1:$1,0)),"")</f>
        <v>2736</v>
      </c>
      <c r="AJ395" s="317">
        <f>IFERROR(INDEX('Other India financials'!$A:$ABB,MATCH($AA395,'Other India financials'!$A:$A,0),MATCH(AJ393,'Other India financials'!$1:$1,0)),"")</f>
        <v>945.0934212079992</v>
      </c>
      <c r="AK395" s="317">
        <f>IFERROR(INDEX('Other India financials'!$A:$ABB,MATCH($AA395,'Other India financials'!$A:$A,0),MATCH(AK393,'Other India financials'!$1:$1,0)),"")</f>
        <v>1808.7246862620013</v>
      </c>
      <c r="AL395" s="317">
        <f>IFERROR(INDEX('Other India financials'!$A:$ABB,MATCH($AA395,'Other India financials'!$A:$A,0),MATCH(AL393,'Other India financials'!$1:$1,0)),"")</f>
        <v>2309.6231909399989</v>
      </c>
      <c r="AM395" s="317">
        <f>IFERROR(INDEX('Other India financials'!$A:$ABB,MATCH($AA395,'Other India financials'!$A:$A,0),MATCH(AM393,'Other India financials'!$1:$1,0)),"")</f>
        <v>1297.8980970600023</v>
      </c>
      <c r="AN395" s="317">
        <f>IFERROR(INDEX('Other India financials'!$A:$ABB,MATCH($AA395,'Other India financials'!$A:$A,0),MATCH(AN393,'Other India financials'!$1:$1,0)),"")</f>
        <v>-401.93030034000276</v>
      </c>
      <c r="AO395" s="317">
        <f>IFERROR(INDEX('Other India financials'!$A:$ABB,MATCH($AA395,'Other India financials'!$A:$A,0),MATCH(AO393,'Other India financials'!$1:$1,0)),"")</f>
        <v>537.15198708000253</v>
      </c>
      <c r="AP395" s="317">
        <f>IFERROR(INDEX('Other India financials'!$A:$ABB,MATCH($AA395,'Other India financials'!$A:$A,0),MATCH(AP393,'Other India financials'!$1:$1,0)),"")</f>
        <v>420.72223620999966</v>
      </c>
      <c r="AQ395" s="317">
        <f>IFERROR(INDEX('Other India financials'!$A:$ABB,MATCH($AA395,'Other India financials'!$A:$A,0),MATCH(AQ393,'Other India financials'!$1:$1,0)),"")</f>
        <v>457.41405306999786</v>
      </c>
      <c r="AR395" s="317">
        <f>IFERROR(INDEX('Other India financials'!$A:$ABB,MATCH($AA395,'Other India financials'!$A:$A,0),MATCH(AR393,'Other India financials'!$1:$1,0)),"")</f>
        <v>568.23249744300074</v>
      </c>
      <c r="AS395" s="317">
        <f>IFERROR(INDEX('Other India financials'!$A:$ABB,MATCH($AA395,'Other India financials'!$A:$A,0),MATCH(AS393,'Other India financials'!$1:$1,0)),"")</f>
        <v>1320.4636748800012</v>
      </c>
      <c r="AT395" s="317">
        <f>IFERROR(INDEX('Other India financials'!$A:$ABB,MATCH($AA395,'Other India financials'!$A:$A,0),MATCH(AT393,'Other India financials'!$1:$1,0)),"")</f>
        <v>323.9013460000001</v>
      </c>
      <c r="AU395" s="317">
        <f>IFERROR(INDEX('Other India financials'!$A:$ABB,MATCH($AA395,'Other India financials'!$A:$A,0),MATCH(AU393,'Other India financials'!$1:$1,0)),"")</f>
        <v>-8.6728830000001835</v>
      </c>
    </row>
    <row r="396" spans="1:47">
      <c r="A396" s="49"/>
      <c r="B396" s="49"/>
      <c r="C396" s="49"/>
      <c r="D396" s="49"/>
      <c r="E396" s="49"/>
      <c r="F396" s="49"/>
      <c r="G396" s="49"/>
      <c r="H396" s="49"/>
      <c r="I396" s="49"/>
      <c r="J396" s="49"/>
      <c r="K396" s="49"/>
      <c r="L396" s="49"/>
      <c r="M396" s="49"/>
      <c r="N396" s="49"/>
      <c r="O396" s="49"/>
      <c r="P396" s="49"/>
      <c r="Q396" s="49"/>
      <c r="R396" s="49"/>
      <c r="S396" s="49"/>
      <c r="T396" s="49"/>
      <c r="U396" s="49"/>
      <c r="V396" s="49"/>
      <c r="W396" s="49"/>
      <c r="AA396" s="316" t="str">
        <f>'Other India financials'!A30</f>
        <v>Operating Free Cash Flow Bus.</v>
      </c>
      <c r="AB396" s="317">
        <f>IFERROR(INDEX('Other India financials'!$A:$ABB,MATCH($AA396,'Other India financials'!$A:$A,0),MATCH(AB393,'Other India financials'!$1:$1,0)),"")</f>
        <v>4497.6203888564978</v>
      </c>
      <c r="AC396" s="317">
        <f>IFERROR(INDEX('Other India financials'!$A:$ABB,MATCH($AA396,'Other India financials'!$A:$A,0),MATCH(AC393,'Other India financials'!$1:$1,0)),"")</f>
        <v>-5347.490932552877</v>
      </c>
      <c r="AD396" s="317">
        <f>IFERROR(INDEX('Other India financials'!$A:$ABB,MATCH($AA396,'Other India financials'!$A:$A,0),MATCH(AD393,'Other India financials'!$1:$1,0)),"")</f>
        <v>8522.9906328959096</v>
      </c>
      <c r="AE396" s="317">
        <f>IFERROR(INDEX('Other India financials'!$A:$ABB,MATCH($AA396,'Other India financials'!$A:$A,0),MATCH(AE393,'Other India financials'!$1:$1,0)),"")</f>
        <v>7839.500309126438</v>
      </c>
      <c r="AF396" s="317">
        <f>IFERROR(INDEX('Other India financials'!$A:$ABB,MATCH($AA396,'Other India financials'!$A:$A,0),MATCH(AF393,'Other India financials'!$1:$1,0)),"")</f>
        <v>8794.672009906506</v>
      </c>
      <c r="AG396" s="317">
        <f>IFERROR(INDEX('Other India financials'!$A:$ABB,MATCH($AA396,'Other India financials'!$A:$A,0),MATCH(AG393,'Other India financials'!$1:$1,0)),"")</f>
        <v>7860.8692587829692</v>
      </c>
      <c r="AH396" s="317">
        <f>IFERROR(INDEX('Other India financials'!$A:$ABB,MATCH($AA396,'Other India financials'!$A:$A,0),MATCH(AH393,'Other India financials'!$1:$1,0)),"")</f>
        <v>8117.6762016907596</v>
      </c>
      <c r="AI396" s="317">
        <f>IFERROR(INDEX('Other India financials'!$A:$ABB,MATCH($AA396,'Other India financials'!$A:$A,0),MATCH(AI393,'Other India financials'!$1:$1,0)),"")</f>
        <v>10301</v>
      </c>
      <c r="AJ396" s="317">
        <f>IFERROR(INDEX('Other India financials'!$A:$ABB,MATCH($AA396,'Other India financials'!$A:$A,0),MATCH(AJ393,'Other India financials'!$1:$1,0)),"")</f>
        <v>7456.0227349363995</v>
      </c>
      <c r="AK396" s="317">
        <f>IFERROR(INDEX('Other India financials'!$A:$ABB,MATCH($AA396,'Other India financials'!$A:$A,0),MATCH(AK393,'Other India financials'!$1:$1,0)),"")</f>
        <v>7972.6203336288545</v>
      </c>
      <c r="AL396" s="317">
        <f>IFERROR(INDEX('Other India financials'!$A:$ABB,MATCH($AA396,'Other India financials'!$A:$A,0),MATCH(AL393,'Other India financials'!$1:$1,0)),"")</f>
        <v>10150.292325277471</v>
      </c>
      <c r="AM396" s="317">
        <f>IFERROR(INDEX('Other India financials'!$A:$ABB,MATCH($AA396,'Other India financials'!$A:$A,0),MATCH(AM393,'Other India financials'!$1:$1,0)),"")</f>
        <v>9501.0225609266836</v>
      </c>
      <c r="AN396" s="317">
        <f>IFERROR(INDEX('Other India financials'!$A:$ABB,MATCH($AA396,'Other India financials'!$A:$A,0),MATCH(AN393,'Other India financials'!$1:$1,0)),"")</f>
        <v>11389.241804780253</v>
      </c>
      <c r="AO396" s="317">
        <f>IFERROR(INDEX('Other India financials'!$A:$ABB,MATCH($AA396,'Other India financials'!$A:$A,0),MATCH(AO393,'Other India financials'!$1:$1,0)),"")</f>
        <v>4081.217144516675</v>
      </c>
      <c r="AP396" s="317">
        <f>IFERROR(INDEX('Other India financials'!$A:$ABB,MATCH($AA396,'Other India financials'!$A:$A,0),MATCH(AP393,'Other India financials'!$1:$1,0)),"")</f>
        <v>13839.569995381979</v>
      </c>
      <c r="AQ396" s="317">
        <f>IFERROR(INDEX('Other India financials'!$A:$ABB,MATCH($AA396,'Other India financials'!$A:$A,0),MATCH(AQ393,'Other India financials'!$1:$1,0)),"")</f>
        <v>10974.860450878456</v>
      </c>
      <c r="AR396" s="317">
        <f>IFERROR(INDEX('Other India financials'!$A:$ABB,MATCH($AA396,'Other India financials'!$A:$A,0),MATCH(AR393,'Other India financials'!$1:$1,0)),"")</f>
        <v>12075.132014770546</v>
      </c>
      <c r="AS396" s="317">
        <f>IFERROR(INDEX('Other India financials'!$A:$ABB,MATCH($AA396,'Other India financials'!$A:$A,0),MATCH(AS393,'Other India financials'!$1:$1,0)),"")</f>
        <v>7247.6489093587024</v>
      </c>
      <c r="AT396" s="317">
        <f>IFERROR(INDEX('Other India financials'!$A:$ABB,MATCH($AA396,'Other India financials'!$A:$A,0),MATCH(AT393,'Other India financials'!$1:$1,0)),"")</f>
        <v>11674.345228777138</v>
      </c>
      <c r="AU396" s="317">
        <f>IFERROR(INDEX('Other India financials'!$A:$ABB,MATCH($AA396,'Other India financials'!$A:$A,0),MATCH(AU393,'Other India financials'!$1:$1,0)),"")</f>
        <v>11201.823378100647</v>
      </c>
    </row>
    <row r="397" spans="1:47">
      <c r="A397" s="49"/>
      <c r="B397" s="49"/>
      <c r="C397" s="49"/>
      <c r="D397" s="49"/>
      <c r="E397" s="49"/>
      <c r="F397" s="49"/>
      <c r="G397" s="49"/>
      <c r="H397" s="49"/>
      <c r="I397" s="49"/>
      <c r="J397" s="49"/>
      <c r="K397" s="49"/>
      <c r="L397" s="49"/>
      <c r="M397" s="49"/>
      <c r="N397" s="49"/>
      <c r="O397" s="49"/>
      <c r="P397" s="49"/>
      <c r="Q397" s="49"/>
      <c r="R397" s="49"/>
      <c r="S397" s="49"/>
      <c r="T397" s="49"/>
      <c r="U397" s="49"/>
      <c r="V397" s="49"/>
      <c r="W397" s="49"/>
    </row>
    <row r="398" spans="1:47">
      <c r="A398" s="49"/>
      <c r="B398" s="49"/>
      <c r="C398" s="49"/>
      <c r="D398" s="49"/>
      <c r="E398" s="49"/>
      <c r="F398" s="49"/>
      <c r="G398" s="49"/>
      <c r="H398" s="49"/>
      <c r="I398" s="49"/>
      <c r="J398" s="49"/>
      <c r="K398" s="49"/>
      <c r="L398" s="49"/>
      <c r="M398" s="49"/>
      <c r="N398" s="49"/>
      <c r="O398" s="49"/>
      <c r="P398" s="49"/>
      <c r="Q398" s="49"/>
      <c r="R398" s="49"/>
      <c r="S398" s="49"/>
      <c r="T398" s="49"/>
      <c r="U398" s="49"/>
      <c r="V398" s="49"/>
      <c r="W398" s="49"/>
    </row>
    <row r="399" spans="1:47">
      <c r="A399" s="49"/>
      <c r="B399" s="49"/>
      <c r="C399" s="49"/>
      <c r="D399" s="49"/>
      <c r="E399" s="49"/>
      <c r="F399" s="49"/>
      <c r="G399" s="49"/>
      <c r="H399" s="49"/>
      <c r="I399" s="49"/>
      <c r="J399" s="49"/>
      <c r="K399" s="49"/>
      <c r="L399" s="49"/>
      <c r="M399" s="49"/>
      <c r="N399" s="49"/>
      <c r="O399" s="49"/>
      <c r="P399" s="49"/>
      <c r="Q399" s="49"/>
      <c r="R399" s="49"/>
      <c r="S399" s="49"/>
      <c r="T399" s="49"/>
      <c r="U399" s="49"/>
      <c r="V399" s="49"/>
      <c r="W399" s="49"/>
    </row>
    <row r="400" spans="1:47">
      <c r="A400" s="49"/>
      <c r="B400" s="49"/>
      <c r="C400" s="49"/>
      <c r="D400" s="49"/>
      <c r="E400" s="49"/>
      <c r="F400" s="49"/>
      <c r="G400" s="49"/>
      <c r="H400" s="49"/>
      <c r="I400" s="49"/>
      <c r="J400" s="49"/>
      <c r="K400" s="49"/>
      <c r="L400" s="49"/>
      <c r="M400" s="49"/>
      <c r="N400" s="49"/>
      <c r="O400" s="49"/>
      <c r="P400" s="49"/>
      <c r="Q400" s="49"/>
      <c r="R400" s="49"/>
      <c r="S400" s="49"/>
      <c r="T400" s="49"/>
      <c r="U400" s="49"/>
      <c r="V400" s="49"/>
      <c r="W400" s="49"/>
    </row>
    <row r="401" spans="1:47">
      <c r="A401" s="52" t="s">
        <v>34</v>
      </c>
      <c r="B401" s="1"/>
      <c r="C401" s="1"/>
      <c r="D401" s="1"/>
      <c r="E401" s="1"/>
      <c r="F401" s="1"/>
      <c r="G401" s="1"/>
      <c r="H401" s="1"/>
      <c r="I401" s="1"/>
      <c r="J401" s="1"/>
      <c r="K401" s="1"/>
      <c r="L401" s="1"/>
      <c r="M401" s="1"/>
      <c r="N401" s="1"/>
      <c r="O401" s="1"/>
      <c r="P401" s="1"/>
      <c r="Q401" s="1"/>
      <c r="R401" s="1"/>
      <c r="S401" s="1"/>
      <c r="T401" s="1"/>
      <c r="U401" s="49"/>
      <c r="V401" s="49"/>
      <c r="W401" s="49"/>
    </row>
    <row r="402" spans="1:47">
      <c r="A402" s="1" t="s">
        <v>443</v>
      </c>
      <c r="B402" s="1" t="s">
        <v>498</v>
      </c>
      <c r="C402" s="1"/>
      <c r="D402" s="1"/>
      <c r="E402" s="1"/>
      <c r="F402" s="1"/>
      <c r="G402" s="1"/>
      <c r="H402" s="1"/>
      <c r="I402" s="1"/>
      <c r="J402" s="1"/>
      <c r="K402" s="1"/>
      <c r="L402" s="1"/>
      <c r="M402" s="1"/>
      <c r="N402" s="1"/>
      <c r="O402" s="1"/>
      <c r="P402" s="1"/>
      <c r="Q402" s="1"/>
      <c r="R402" s="1"/>
      <c r="S402" s="1"/>
      <c r="T402" s="1"/>
      <c r="U402" s="49"/>
      <c r="V402" s="49"/>
      <c r="W402" s="49"/>
    </row>
    <row r="403" spans="1:47">
      <c r="A403" s="49"/>
      <c r="B403" s="49"/>
      <c r="C403" s="49"/>
      <c r="D403" s="49"/>
      <c r="E403" s="49"/>
      <c r="F403" s="49"/>
      <c r="G403" s="49"/>
      <c r="H403" s="49"/>
      <c r="I403" s="49"/>
      <c r="J403" s="49"/>
      <c r="K403" s="49"/>
      <c r="L403" s="49"/>
      <c r="M403" s="49"/>
      <c r="N403" s="49"/>
      <c r="O403" s="49"/>
      <c r="P403" s="49"/>
      <c r="Q403" s="49"/>
      <c r="R403" s="49"/>
      <c r="S403" s="49"/>
      <c r="T403" s="49"/>
      <c r="U403" s="49"/>
      <c r="V403" s="49"/>
      <c r="W403" s="49"/>
    </row>
    <row r="404" spans="1:47">
      <c r="A404" s="49"/>
      <c r="B404" s="49"/>
      <c r="C404" s="49"/>
      <c r="D404" s="49"/>
      <c r="E404" s="49"/>
      <c r="F404" s="49"/>
      <c r="G404" s="49"/>
      <c r="H404" s="49"/>
      <c r="I404" s="49"/>
      <c r="J404" s="49"/>
      <c r="K404" s="49"/>
      <c r="L404" s="49"/>
      <c r="M404" s="49"/>
      <c r="N404" s="49"/>
      <c r="O404" s="49"/>
      <c r="P404" s="49"/>
      <c r="Q404" s="49"/>
      <c r="R404" s="49"/>
      <c r="S404" s="49"/>
      <c r="T404" s="49"/>
      <c r="U404" s="49"/>
      <c r="V404" s="49"/>
      <c r="W404" s="49"/>
    </row>
    <row r="405" spans="1:47">
      <c r="A405" s="49"/>
      <c r="B405" s="49"/>
      <c r="C405" s="49"/>
      <c r="D405" s="49"/>
      <c r="E405" s="49"/>
      <c r="F405" s="49"/>
      <c r="G405" s="49"/>
      <c r="H405" s="49"/>
      <c r="I405" s="49"/>
      <c r="J405" s="49"/>
      <c r="K405" s="49"/>
      <c r="L405" s="49"/>
      <c r="M405" s="49"/>
      <c r="N405" s="49"/>
      <c r="O405" s="49"/>
      <c r="P405" s="49"/>
      <c r="Q405" s="49"/>
      <c r="R405" s="49"/>
      <c r="S405" s="49"/>
      <c r="T405" s="49"/>
      <c r="U405" s="49"/>
      <c r="V405" s="49"/>
      <c r="W405" s="49"/>
    </row>
    <row r="406" spans="1:47">
      <c r="A406" s="49"/>
      <c r="B406" s="49"/>
      <c r="C406" s="49"/>
      <c r="D406" s="49"/>
      <c r="E406" s="49"/>
      <c r="F406" s="49"/>
      <c r="G406" s="49"/>
      <c r="H406" s="49"/>
      <c r="I406" s="49"/>
      <c r="J406" s="49"/>
      <c r="K406" s="49"/>
      <c r="L406" s="49"/>
      <c r="M406" s="49"/>
      <c r="N406" s="49"/>
      <c r="O406" s="49"/>
      <c r="P406" s="49"/>
      <c r="Q406" s="49"/>
      <c r="R406" s="49"/>
      <c r="S406" s="49"/>
      <c r="T406" s="49"/>
      <c r="U406" s="49"/>
      <c r="V406" s="49"/>
      <c r="W406" s="49"/>
      <c r="AB406" s="303">
        <f t="shared" ref="AB406" si="609">AC406-1</f>
        <v>35</v>
      </c>
      <c r="AC406" s="303">
        <f t="shared" ref="AC406" si="610">AD406-1</f>
        <v>36</v>
      </c>
      <c r="AD406" s="303">
        <f t="shared" ref="AD406" si="611">AE406-1</f>
        <v>37</v>
      </c>
      <c r="AE406" s="303">
        <f t="shared" ref="AE406" si="612">AF406-1</f>
        <v>38</v>
      </c>
      <c r="AF406" s="303">
        <f t="shared" ref="AF406" si="613">AG406-1</f>
        <v>39</v>
      </c>
      <c r="AG406" s="303">
        <f t="shared" ref="AG406" si="614">AH406-1</f>
        <v>40</v>
      </c>
      <c r="AH406" s="303">
        <f t="shared" ref="AH406" si="615">AI406-1</f>
        <v>41</v>
      </c>
      <c r="AI406" s="303">
        <f t="shared" ref="AI406" si="616">AJ406-1</f>
        <v>42</v>
      </c>
      <c r="AJ406" s="303">
        <f t="shared" ref="AJ406" si="617">AK406-1</f>
        <v>43</v>
      </c>
      <c r="AK406" s="303">
        <f t="shared" ref="AK406" si="618">AL406-1</f>
        <v>44</v>
      </c>
      <c r="AL406" s="303">
        <f t="shared" ref="AL406" si="619">AM406-1</f>
        <v>45</v>
      </c>
      <c r="AM406" s="303">
        <f t="shared" ref="AM406" si="620">AN406-1</f>
        <v>46</v>
      </c>
      <c r="AN406" s="303">
        <f t="shared" ref="AN406" si="621">AO406-1</f>
        <v>47</v>
      </c>
      <c r="AO406" s="303">
        <f t="shared" ref="AO406" si="622">AP406-1</f>
        <v>48</v>
      </c>
      <c r="AP406" s="303">
        <f t="shared" ref="AP406" si="623">AQ406-1</f>
        <v>49</v>
      </c>
      <c r="AQ406" s="303">
        <f t="shared" ref="AQ406" si="624">AR406-1</f>
        <v>50</v>
      </c>
      <c r="AR406" s="303">
        <f t="shared" ref="AR406" si="625">AS406-1</f>
        <v>51</v>
      </c>
      <c r="AS406" s="303">
        <f t="shared" ref="AS406" si="626">AT406-1</f>
        <v>52</v>
      </c>
      <c r="AT406" s="303">
        <f t="shared" ref="AT406" si="627">AU406-1</f>
        <v>53</v>
      </c>
      <c r="AU406" s="303">
        <f>VLOOKUP(AU407,Dates!$A:$D,2,FALSE)</f>
        <v>54</v>
      </c>
    </row>
    <row r="407" spans="1:47">
      <c r="A407" s="49"/>
      <c r="B407" s="49"/>
      <c r="C407" s="49"/>
      <c r="D407" s="49"/>
      <c r="E407" s="49"/>
      <c r="F407" s="49"/>
      <c r="G407" s="49"/>
      <c r="H407" s="49"/>
      <c r="I407" s="49"/>
      <c r="J407" s="49"/>
      <c r="K407" s="49"/>
      <c r="L407" s="49"/>
      <c r="M407" s="49"/>
      <c r="N407" s="49"/>
      <c r="O407" s="49"/>
      <c r="P407" s="49"/>
      <c r="Q407" s="49"/>
      <c r="R407" s="49"/>
      <c r="S407" s="49"/>
      <c r="T407" s="49"/>
      <c r="U407" s="49"/>
      <c r="V407" s="49"/>
      <c r="W407" s="49"/>
      <c r="AB407" s="303" t="str">
        <f>IFERROR(VLOOKUP(AB406,Dates!$B:$D,3,FALSE),"")</f>
        <v>3Q20</v>
      </c>
      <c r="AC407" s="303" t="str">
        <f>IFERROR(VLOOKUP(AC406,Dates!$B:$D,3,FALSE),"")</f>
        <v>4Q20</v>
      </c>
      <c r="AD407" s="303" t="str">
        <f>IFERROR(VLOOKUP(AD406,Dates!$B:$D,3,FALSE),"")</f>
        <v>1Q21</v>
      </c>
      <c r="AE407" s="303" t="str">
        <f>IFERROR(VLOOKUP(AE406,Dates!$B:$D,3,FALSE),"")</f>
        <v>2Q21</v>
      </c>
      <c r="AF407" s="303" t="str">
        <f>IFERROR(VLOOKUP(AF406,Dates!$B:$D,3,FALSE),"")</f>
        <v>3Q21</v>
      </c>
      <c r="AG407" s="303" t="str">
        <f>IFERROR(VLOOKUP(AG406,Dates!$B:$D,3,FALSE),"")</f>
        <v>4Q21</v>
      </c>
      <c r="AH407" s="303" t="str">
        <f>IFERROR(VLOOKUP(AH406,Dates!$B:$D,3,FALSE),"")</f>
        <v>1Q22</v>
      </c>
      <c r="AI407" s="303" t="str">
        <f>IFERROR(VLOOKUP(AI406,Dates!$B:$D,3,FALSE),"")</f>
        <v>2Q22</v>
      </c>
      <c r="AJ407" s="303" t="str">
        <f>IFERROR(VLOOKUP(AJ406,Dates!$B:$D,3,FALSE),"")</f>
        <v>3Q22</v>
      </c>
      <c r="AK407" s="303" t="str">
        <f>IFERROR(VLOOKUP(AK406,Dates!$B:$D,3,FALSE),"")</f>
        <v>4Q22</v>
      </c>
      <c r="AL407" s="303" t="str">
        <f>IFERROR(VLOOKUP(AL406,Dates!$B:$D,3,FALSE),"")</f>
        <v>1Q23</v>
      </c>
      <c r="AM407" s="303" t="str">
        <f>IFERROR(VLOOKUP(AM406,Dates!$B:$D,3,FALSE),"")</f>
        <v>2Q23</v>
      </c>
      <c r="AN407" s="303" t="str">
        <f>IFERROR(VLOOKUP(AN406,Dates!$B:$D,3,FALSE),"")</f>
        <v>3Q23</v>
      </c>
      <c r="AO407" s="303" t="str">
        <f>IFERROR(VLOOKUP(AO406,Dates!$B:$D,3,FALSE),"")</f>
        <v>4Q23</v>
      </c>
      <c r="AP407" s="303" t="str">
        <f>IFERROR(VLOOKUP(AP406,Dates!$B:$D,3,FALSE),"")</f>
        <v>1Q24</v>
      </c>
      <c r="AQ407" s="303" t="str">
        <f>IFERROR(VLOOKUP(AQ406,Dates!$B:$D,3,FALSE),"")</f>
        <v>2Q24</v>
      </c>
      <c r="AR407" s="303" t="str">
        <f>IFERROR(VLOOKUP(AR406,Dates!$B:$D,3,FALSE),"")</f>
        <v>3Q24</v>
      </c>
      <c r="AS407" s="303" t="str">
        <f>IFERROR(VLOOKUP(AS406,Dates!$B:$D,3,FALSE),"")</f>
        <v>4Q24</v>
      </c>
      <c r="AT407" s="303" t="str">
        <f>IFERROR(VLOOKUP(AT406,Dates!$B:$D,3,FALSE),"")</f>
        <v>1Q25</v>
      </c>
      <c r="AU407" s="315" t="str">
        <f>$G$3</f>
        <v>2Q25</v>
      </c>
    </row>
    <row r="408" spans="1:47">
      <c r="A408" s="49"/>
      <c r="B408" s="49"/>
      <c r="C408" s="49"/>
      <c r="D408" s="49"/>
      <c r="E408" s="49"/>
      <c r="F408" s="49"/>
      <c r="G408" s="49"/>
      <c r="H408" s="49"/>
      <c r="I408" s="49"/>
      <c r="J408" s="49"/>
      <c r="K408" s="49"/>
      <c r="L408" s="49"/>
      <c r="M408" s="49"/>
      <c r="N408" s="49"/>
      <c r="O408" s="49"/>
      <c r="P408" s="49"/>
      <c r="Q408" s="49"/>
      <c r="R408" s="49"/>
      <c r="S408" s="49"/>
      <c r="T408" s="49"/>
      <c r="U408" s="49"/>
      <c r="V408" s="49"/>
      <c r="W408" s="49"/>
      <c r="AA408" s="316" t="str">
        <f>'International Financials'!A30</f>
        <v>Total revenues.</v>
      </c>
      <c r="AB408" s="317">
        <f>IFERROR(INDEX('International Financials'!$A:$ABB,MATCH($AA408,'International Financials'!$A:$A,0),MATCH(AB407,'International Financials'!$1:$1,0)),"")</f>
        <v>62692.392380003388</v>
      </c>
      <c r="AC408" s="317">
        <f>IFERROR(INDEX('International Financials'!$A:$ABB,MATCH($AA408,'International Financials'!$A:$A,0),MATCH(AC407,'International Financials'!$1:$1,0)),"")</f>
        <v>64888.432813095009</v>
      </c>
      <c r="AD408" s="317">
        <f>IFERROR(INDEX('International Financials'!$A:$ABB,MATCH($AA408,'International Financials'!$A:$A,0),MATCH(AD407,'International Financials'!$1:$1,0)),"")</f>
        <v>64512.787317906987</v>
      </c>
      <c r="AE408" s="317">
        <f>IFERROR(INDEX('International Financials'!$A:$ABB,MATCH($AA408,'International Financials'!$A:$A,0),MATCH(AE407,'International Financials'!$1:$1,0)),"")</f>
        <v>71660.353665636983</v>
      </c>
      <c r="AF408" s="317">
        <f>IFERROR(INDEX('International Financials'!$A:$ABB,MATCH($AA408,'International Financials'!$A:$A,0),MATCH(AF407,'International Financials'!$1:$1,0)),"")</f>
        <v>76441.540934315999</v>
      </c>
      <c r="AG408" s="317">
        <f>IFERROR(INDEX('International Financials'!$A:$ABB,MATCH($AA408,'International Financials'!$A:$A,0),MATCH(AG407,'International Financials'!$1:$1,0)),"")</f>
        <v>76017.490857259982</v>
      </c>
      <c r="AH408" s="317">
        <f>IFERROR(INDEX('International Financials'!$A:$ABB,MATCH($AA408,'International Financials'!$A:$A,0),MATCH(AH407,'International Financials'!$1:$1,0)),"")</f>
        <v>81773.153924568993</v>
      </c>
      <c r="AI408" s="317">
        <f>IFERROR(INDEX('International Financials'!$A:$ABB,MATCH($AA408,'International Financials'!$A:$A,0),MATCH(AI407,'International Financials'!$1:$1,0)),"")</f>
        <v>85915.677568233965</v>
      </c>
      <c r="AJ408" s="317">
        <f>IFERROR(INDEX('International Financials'!$A:$ABB,MATCH($AA408,'International Financials'!$A:$A,0),MATCH(AJ407,'International Financials'!$1:$1,0)),"")</f>
        <v>91053</v>
      </c>
      <c r="AK408" s="317">
        <f>IFERROR(INDEX('International Financials'!$A:$ABB,MATCH($AA408,'International Financials'!$A:$A,0),MATCH(AK407,'International Financials'!$1:$1,0)),"")</f>
        <v>91871.379550050056</v>
      </c>
      <c r="AL408" s="317">
        <f>IFERROR(INDEX('International Financials'!$A:$ABB,MATCH($AA408,'International Financials'!$A:$A,0),MATCH(AL407,'International Financials'!$1:$1,0)),"")</f>
        <v>97020.754476614995</v>
      </c>
      <c r="AM408" s="317">
        <f>IFERROR(INDEX('International Financials'!$A:$ABB,MATCH($AA408,'International Financials'!$A:$A,0),MATCH(AM407,'International Financials'!$1:$1,0)),"")</f>
        <v>104451.814448598</v>
      </c>
      <c r="AN408" s="317">
        <f>IFERROR(INDEX('International Financials'!$A:$ABB,MATCH($AA408,'International Financials'!$A:$A,0),MATCH(AN407,'International Financials'!$1:$1,0)),"")</f>
        <v>110876.80381784689</v>
      </c>
      <c r="AO408" s="317">
        <f>IFERROR(INDEX('International Financials'!$A:$ABB,MATCH($AA408,'International Financials'!$A:$A,0),MATCH(AO407,'International Financials'!$1:$1,0)),"")</f>
        <v>110314.79130590509</v>
      </c>
      <c r="AP408" s="317">
        <f>IFERROR(INDEX('International Financials'!$A:$ABB,MATCH($AA408,'International Financials'!$A:$A,0),MATCH(AP407,'International Financials'!$1:$1,0)),"")</f>
        <v>113168.47988314697</v>
      </c>
      <c r="AQ408" s="317">
        <f>IFERROR(INDEX('International Financials'!$A:$ABB,MATCH($AA408,'International Financials'!$A:$A,0),MATCH(AQ407,'International Financials'!$1:$1,0)),"")</f>
        <v>102767.63975801811</v>
      </c>
      <c r="AR408" s="317">
        <f>IFERROR(INDEX('International Financials'!$A:$ABB,MATCH($AA408,'International Financials'!$A:$A,0),MATCH(AR407,'International Financials'!$1:$1,0)),"")</f>
        <v>102972.35068890199</v>
      </c>
      <c r="AS408" s="317">
        <f>IFERROR(INDEX('International Financials'!$A:$ABB,MATCH($AA408,'International Financials'!$A:$A,0),MATCH(AS407,'International Financials'!$1:$1,0)),"")</f>
        <v>92932.501927844976</v>
      </c>
      <c r="AT408" s="317">
        <f>IFERROR(INDEX('International Financials'!$A:$ABB,MATCH($AA408,'International Financials'!$A:$A,0),MATCH(AT407,'International Financials'!$1:$1,0)),"")</f>
        <v>96369.348685824254</v>
      </c>
      <c r="AU408" s="317">
        <f>IFERROR(INDEX('International Financials'!$A:$ABB,MATCH($AA408,'International Financials'!$A:$A,0),MATCH(AU407,'International Financials'!$1:$1,0)),"")</f>
        <v>101631.1571631609</v>
      </c>
    </row>
    <row r="409" spans="1:47">
      <c r="A409" s="49"/>
      <c r="B409" s="49"/>
      <c r="C409" s="49"/>
      <c r="D409" s="49"/>
      <c r="E409" s="49"/>
      <c r="F409" s="49"/>
      <c r="G409" s="49"/>
      <c r="H409" s="49"/>
      <c r="I409" s="49"/>
      <c r="J409" s="49"/>
      <c r="K409" s="49"/>
      <c r="L409" s="49"/>
      <c r="M409" s="49"/>
      <c r="N409" s="49"/>
      <c r="O409" s="49"/>
      <c r="P409" s="49"/>
      <c r="Q409" s="49"/>
      <c r="R409" s="49"/>
      <c r="S409" s="49"/>
      <c r="T409" s="49"/>
      <c r="U409" s="49"/>
      <c r="V409" s="49"/>
      <c r="W409" s="49"/>
    </row>
    <row r="410" spans="1:47">
      <c r="A410" s="49"/>
      <c r="B410" s="49"/>
      <c r="C410" s="49"/>
      <c r="D410" s="49"/>
      <c r="E410" s="49"/>
      <c r="F410" s="49"/>
      <c r="G410" s="49"/>
      <c r="H410" s="49"/>
      <c r="I410" s="49"/>
      <c r="J410" s="49"/>
      <c r="K410" s="49"/>
      <c r="L410" s="49"/>
      <c r="M410" s="49"/>
      <c r="N410" s="49"/>
      <c r="O410" s="49"/>
      <c r="P410" s="49"/>
      <c r="Q410" s="49"/>
      <c r="R410" s="49"/>
      <c r="S410" s="49"/>
      <c r="T410" s="49"/>
      <c r="U410" s="49"/>
      <c r="V410" s="49"/>
      <c r="W410" s="49"/>
    </row>
    <row r="411" spans="1:47">
      <c r="A411" s="49"/>
      <c r="B411" s="49"/>
      <c r="C411" s="49"/>
      <c r="D411" s="49"/>
      <c r="E411" s="49"/>
      <c r="F411" s="49"/>
      <c r="G411" s="49"/>
      <c r="H411" s="49"/>
      <c r="I411" s="49"/>
      <c r="J411" s="49"/>
      <c r="K411" s="49"/>
      <c r="L411" s="49"/>
      <c r="M411" s="49"/>
      <c r="N411" s="49"/>
      <c r="O411" s="49"/>
      <c r="P411" s="49"/>
      <c r="Q411" s="49"/>
      <c r="R411" s="49"/>
      <c r="S411" s="49"/>
      <c r="T411" s="49"/>
      <c r="U411" s="49"/>
      <c r="V411" s="49"/>
      <c r="W411" s="49"/>
    </row>
    <row r="412" spans="1:47">
      <c r="A412" s="49"/>
      <c r="B412" s="49"/>
      <c r="C412" s="49"/>
      <c r="D412" s="49"/>
      <c r="E412" s="49"/>
      <c r="F412" s="49"/>
      <c r="G412" s="49"/>
      <c r="H412" s="49"/>
      <c r="I412" s="49"/>
      <c r="J412" s="49"/>
      <c r="K412" s="49"/>
      <c r="L412" s="49"/>
      <c r="M412" s="49"/>
      <c r="N412" s="49"/>
      <c r="O412" s="49"/>
      <c r="P412" s="49"/>
      <c r="Q412" s="49"/>
      <c r="R412" s="49"/>
      <c r="S412" s="49"/>
      <c r="T412" s="49"/>
      <c r="U412" s="49"/>
      <c r="V412" s="49"/>
      <c r="W412" s="49"/>
    </row>
    <row r="413" spans="1:47">
      <c r="A413" s="49"/>
      <c r="B413" s="49"/>
      <c r="C413" s="49"/>
      <c r="D413" s="49"/>
      <c r="E413" s="49"/>
      <c r="F413" s="49"/>
      <c r="G413" s="49"/>
      <c r="H413" s="49"/>
      <c r="I413" s="49"/>
      <c r="J413" s="49"/>
      <c r="K413" s="49"/>
      <c r="L413" s="49"/>
      <c r="M413" s="49"/>
      <c r="N413" s="49"/>
      <c r="O413" s="49"/>
      <c r="P413" s="49"/>
      <c r="Q413" s="49"/>
      <c r="R413" s="49"/>
      <c r="S413" s="49"/>
      <c r="T413" s="49"/>
      <c r="U413" s="49"/>
      <c r="V413" s="49"/>
      <c r="W413" s="49"/>
    </row>
    <row r="414" spans="1:47">
      <c r="A414" s="49"/>
      <c r="B414" s="49"/>
      <c r="C414" s="49"/>
      <c r="D414" s="49"/>
      <c r="E414" s="49"/>
      <c r="F414" s="49"/>
      <c r="G414" s="49"/>
      <c r="H414" s="49"/>
      <c r="I414" s="49"/>
      <c r="J414" s="49"/>
      <c r="K414" s="49"/>
      <c r="L414" s="49"/>
      <c r="M414" s="49"/>
      <c r="N414" s="49"/>
      <c r="O414" s="49"/>
      <c r="P414" s="49"/>
      <c r="Q414" s="49"/>
      <c r="R414" s="49"/>
      <c r="S414" s="49"/>
      <c r="T414" s="49"/>
      <c r="U414" s="49"/>
      <c r="V414" s="49"/>
      <c r="W414" s="49"/>
    </row>
    <row r="415" spans="1:47">
      <c r="A415" s="49"/>
      <c r="B415" s="49"/>
      <c r="C415" s="49"/>
      <c r="D415" s="49"/>
      <c r="E415" s="49"/>
      <c r="F415" s="49"/>
      <c r="G415" s="49"/>
      <c r="H415" s="49"/>
      <c r="I415" s="49"/>
      <c r="J415" s="49"/>
      <c r="K415" s="49"/>
      <c r="L415" s="49"/>
      <c r="M415" s="49"/>
      <c r="N415" s="49"/>
      <c r="O415" s="49"/>
      <c r="P415" s="49"/>
      <c r="Q415" s="49"/>
      <c r="R415" s="49"/>
      <c r="S415" s="49"/>
      <c r="T415" s="49"/>
      <c r="U415" s="49"/>
      <c r="V415" s="49"/>
      <c r="W415" s="49"/>
    </row>
    <row r="416" spans="1:47">
      <c r="A416" s="49"/>
      <c r="B416" s="49"/>
      <c r="C416" s="49"/>
      <c r="D416" s="49"/>
      <c r="E416" s="49"/>
      <c r="F416" s="49"/>
      <c r="G416" s="49"/>
      <c r="H416" s="49"/>
      <c r="I416" s="49"/>
      <c r="J416" s="49"/>
      <c r="K416" s="49"/>
      <c r="L416" s="49"/>
      <c r="M416" s="49"/>
      <c r="N416" s="49"/>
      <c r="O416" s="49"/>
      <c r="P416" s="49"/>
      <c r="Q416" s="49"/>
      <c r="R416" s="49"/>
      <c r="S416" s="49"/>
      <c r="T416" s="49"/>
      <c r="U416" s="49"/>
      <c r="V416" s="49"/>
      <c r="W416" s="49"/>
    </row>
    <row r="417" spans="1:47">
      <c r="A417" s="49"/>
      <c r="B417" s="49"/>
      <c r="C417" s="49"/>
      <c r="D417" s="49"/>
      <c r="E417" s="49"/>
      <c r="F417" s="49"/>
      <c r="G417" s="49"/>
      <c r="H417" s="49"/>
      <c r="I417" s="49"/>
      <c r="J417" s="49"/>
      <c r="K417" s="49"/>
      <c r="L417" s="49"/>
      <c r="M417" s="49"/>
      <c r="N417" s="49"/>
      <c r="O417" s="49"/>
      <c r="P417" s="49"/>
      <c r="Q417" s="49"/>
      <c r="R417" s="49"/>
      <c r="S417" s="49"/>
      <c r="T417" s="49"/>
      <c r="U417" s="49"/>
      <c r="V417" s="49"/>
      <c r="W417" s="49"/>
    </row>
    <row r="418" spans="1:47">
      <c r="B418" s="49"/>
      <c r="C418" s="49"/>
      <c r="D418" s="49"/>
      <c r="E418" s="49"/>
      <c r="F418" s="49"/>
      <c r="G418" s="49"/>
      <c r="H418" s="49"/>
      <c r="I418" s="49"/>
      <c r="J418" s="49"/>
      <c r="K418" s="49"/>
      <c r="L418" s="49"/>
      <c r="M418" s="49"/>
      <c r="N418" s="49"/>
      <c r="O418" s="49"/>
      <c r="P418" s="49"/>
      <c r="Q418" s="49"/>
      <c r="R418" s="49"/>
      <c r="S418" s="49"/>
      <c r="T418" s="49"/>
      <c r="U418" s="49"/>
      <c r="V418" s="49"/>
      <c r="W418" s="49"/>
    </row>
    <row r="419" spans="1:47">
      <c r="A419" s="49"/>
      <c r="B419" s="49"/>
      <c r="C419" s="49"/>
      <c r="D419" s="49"/>
      <c r="E419" s="49"/>
      <c r="F419" s="49"/>
      <c r="G419" s="49"/>
      <c r="H419" s="49"/>
      <c r="I419" s="49"/>
      <c r="J419" s="49"/>
      <c r="K419" s="49"/>
      <c r="L419" s="49"/>
      <c r="M419" s="49"/>
      <c r="N419" s="49"/>
      <c r="O419" s="49"/>
      <c r="P419" s="49"/>
      <c r="Q419" s="49"/>
      <c r="R419" s="49"/>
      <c r="S419" s="49"/>
      <c r="T419" s="49"/>
      <c r="U419" s="49"/>
      <c r="V419" s="49"/>
      <c r="W419" s="49"/>
    </row>
    <row r="420" spans="1:47">
      <c r="B420" s="49"/>
      <c r="C420" s="49"/>
      <c r="D420" s="49"/>
      <c r="E420" s="49"/>
      <c r="F420" s="49"/>
      <c r="G420" s="49"/>
      <c r="H420" s="49"/>
      <c r="I420" s="49"/>
      <c r="J420" s="49"/>
      <c r="K420" s="49"/>
      <c r="L420" s="49"/>
      <c r="M420" s="49"/>
      <c r="N420" s="49"/>
      <c r="O420" s="49"/>
      <c r="P420" s="49"/>
      <c r="Q420" s="49"/>
      <c r="R420" s="49"/>
      <c r="S420" s="49"/>
      <c r="T420" s="49"/>
      <c r="U420" s="49"/>
      <c r="V420" s="49"/>
      <c r="W420" s="49"/>
    </row>
    <row r="421" spans="1:47">
      <c r="A421" s="1" t="s">
        <v>444</v>
      </c>
      <c r="B421" s="1" t="s">
        <v>584</v>
      </c>
      <c r="C421" s="1"/>
      <c r="D421" s="1"/>
      <c r="E421" s="1"/>
      <c r="F421" s="1"/>
      <c r="G421" s="1"/>
      <c r="H421" s="1"/>
      <c r="I421" s="1"/>
      <c r="J421" s="1"/>
      <c r="K421" s="1" t="s">
        <v>445</v>
      </c>
      <c r="L421" s="1" t="s">
        <v>583</v>
      </c>
      <c r="M421" s="1"/>
      <c r="N421" s="1"/>
      <c r="O421" s="1"/>
      <c r="P421" s="1"/>
      <c r="Q421" s="1"/>
      <c r="R421" s="1"/>
      <c r="S421" s="1"/>
      <c r="T421" s="1"/>
      <c r="U421" s="49"/>
      <c r="V421" s="49"/>
      <c r="W421" s="49"/>
    </row>
    <row r="422" spans="1:47">
      <c r="A422" s="49"/>
      <c r="B422" s="49"/>
      <c r="C422" s="49"/>
      <c r="D422" s="49"/>
      <c r="E422" s="49"/>
      <c r="F422" s="49"/>
      <c r="G422" s="49"/>
      <c r="H422" s="49"/>
      <c r="I422" s="49"/>
      <c r="J422" s="49"/>
      <c r="K422" s="49"/>
      <c r="L422" s="49"/>
      <c r="M422" s="49"/>
      <c r="N422" s="49"/>
      <c r="O422" s="49"/>
      <c r="P422" s="49"/>
      <c r="Q422" s="49"/>
      <c r="R422" s="49"/>
      <c r="S422" s="49"/>
      <c r="T422" s="49"/>
      <c r="U422" s="49"/>
      <c r="V422" s="49"/>
      <c r="W422" s="49"/>
    </row>
    <row r="423" spans="1:47">
      <c r="A423" s="49"/>
      <c r="B423" s="49"/>
      <c r="C423" s="49"/>
      <c r="D423" s="49"/>
      <c r="E423" s="49"/>
      <c r="F423" s="49"/>
      <c r="G423" s="49"/>
      <c r="H423" s="49"/>
      <c r="I423" s="49"/>
      <c r="J423" s="49"/>
      <c r="K423" s="49"/>
      <c r="L423" s="49"/>
      <c r="M423" s="49"/>
      <c r="N423" s="49"/>
      <c r="O423" s="49"/>
      <c r="P423" s="49"/>
      <c r="Q423" s="49"/>
      <c r="R423" s="49"/>
      <c r="S423" s="49"/>
      <c r="T423" s="49"/>
      <c r="U423" s="49"/>
      <c r="V423" s="49"/>
      <c r="W423" s="49"/>
    </row>
    <row r="424" spans="1:47">
      <c r="A424" s="49"/>
      <c r="B424" s="49"/>
      <c r="C424" s="49"/>
      <c r="D424" s="49"/>
      <c r="E424" s="49"/>
      <c r="F424" s="49"/>
      <c r="G424" s="49"/>
      <c r="H424" s="49"/>
      <c r="I424" s="49"/>
      <c r="J424" s="49"/>
      <c r="K424" s="49"/>
      <c r="L424" s="49"/>
      <c r="M424" s="49"/>
      <c r="N424" s="49"/>
      <c r="O424" s="49"/>
      <c r="P424" s="49"/>
      <c r="Q424" s="49"/>
      <c r="R424" s="49"/>
      <c r="S424" s="49"/>
      <c r="T424" s="49"/>
      <c r="U424" s="49"/>
      <c r="V424" s="49"/>
      <c r="W424" s="49"/>
      <c r="AB424" s="303">
        <f t="shared" ref="AB424" si="628">AC424-1</f>
        <v>35</v>
      </c>
      <c r="AC424" s="303">
        <f t="shared" ref="AC424" si="629">AD424-1</f>
        <v>36</v>
      </c>
      <c r="AD424" s="303">
        <f t="shared" ref="AD424" si="630">AE424-1</f>
        <v>37</v>
      </c>
      <c r="AE424" s="303">
        <f t="shared" ref="AE424" si="631">AF424-1</f>
        <v>38</v>
      </c>
      <c r="AF424" s="303">
        <f t="shared" ref="AF424" si="632">AG424-1</f>
        <v>39</v>
      </c>
      <c r="AG424" s="303">
        <f t="shared" ref="AG424" si="633">AH424-1</f>
        <v>40</v>
      </c>
      <c r="AH424" s="303">
        <f t="shared" ref="AH424" si="634">AI424-1</f>
        <v>41</v>
      </c>
      <c r="AI424" s="303">
        <f t="shared" ref="AI424" si="635">AJ424-1</f>
        <v>42</v>
      </c>
      <c r="AJ424" s="303">
        <f t="shared" ref="AJ424" si="636">AK424-1</f>
        <v>43</v>
      </c>
      <c r="AK424" s="303">
        <f t="shared" ref="AK424" si="637">AL424-1</f>
        <v>44</v>
      </c>
      <c r="AL424" s="303">
        <f t="shared" ref="AL424" si="638">AM424-1</f>
        <v>45</v>
      </c>
      <c r="AM424" s="303">
        <f t="shared" ref="AM424" si="639">AN424-1</f>
        <v>46</v>
      </c>
      <c r="AN424" s="303">
        <f t="shared" ref="AN424" si="640">AO424-1</f>
        <v>47</v>
      </c>
      <c r="AO424" s="303">
        <f t="shared" ref="AO424" si="641">AP424-1</f>
        <v>48</v>
      </c>
      <c r="AP424" s="303">
        <f t="shared" ref="AP424" si="642">AQ424-1</f>
        <v>49</v>
      </c>
      <c r="AQ424" s="303">
        <f t="shared" ref="AQ424" si="643">AR424-1</f>
        <v>50</v>
      </c>
      <c r="AR424" s="303">
        <f t="shared" ref="AR424" si="644">AS424-1</f>
        <v>51</v>
      </c>
      <c r="AS424" s="303">
        <f t="shared" ref="AS424" si="645">AT424-1</f>
        <v>52</v>
      </c>
      <c r="AT424" s="303">
        <f t="shared" ref="AT424" si="646">AU424-1</f>
        <v>53</v>
      </c>
      <c r="AU424" s="303">
        <f>VLOOKUP(AU425,Dates!$A:$D,2,FALSE)</f>
        <v>54</v>
      </c>
    </row>
    <row r="425" spans="1:47">
      <c r="A425" s="49"/>
      <c r="B425" s="49"/>
      <c r="C425" s="49"/>
      <c r="D425" s="49"/>
      <c r="E425" s="49"/>
      <c r="F425" s="49"/>
      <c r="G425" s="49"/>
      <c r="H425" s="49"/>
      <c r="I425" s="49"/>
      <c r="J425" s="49"/>
      <c r="K425" s="49"/>
      <c r="L425" s="49"/>
      <c r="M425" s="49"/>
      <c r="N425" s="49"/>
      <c r="O425" s="49"/>
      <c r="P425" s="49"/>
      <c r="Q425" s="49"/>
      <c r="R425" s="49"/>
      <c r="S425" s="49"/>
      <c r="T425" s="49"/>
      <c r="U425" s="49"/>
      <c r="V425" s="49"/>
      <c r="W425" s="49"/>
      <c r="AB425" s="303" t="str">
        <f>IFERROR(VLOOKUP(AB424,Dates!$B:$D,3,FALSE),"")</f>
        <v>3Q20</v>
      </c>
      <c r="AC425" s="303" t="str">
        <f>IFERROR(VLOOKUP(AC424,Dates!$B:$D,3,FALSE),"")</f>
        <v>4Q20</v>
      </c>
      <c r="AD425" s="303" t="str">
        <f>IFERROR(VLOOKUP(AD424,Dates!$B:$D,3,FALSE),"")</f>
        <v>1Q21</v>
      </c>
      <c r="AE425" s="303" t="str">
        <f>IFERROR(VLOOKUP(AE424,Dates!$B:$D,3,FALSE),"")</f>
        <v>2Q21</v>
      </c>
      <c r="AF425" s="303" t="str">
        <f>IFERROR(VLOOKUP(AF424,Dates!$B:$D,3,FALSE),"")</f>
        <v>3Q21</v>
      </c>
      <c r="AG425" s="303" t="str">
        <f>IFERROR(VLOOKUP(AG424,Dates!$B:$D,3,FALSE),"")</f>
        <v>4Q21</v>
      </c>
      <c r="AH425" s="303" t="str">
        <f>IFERROR(VLOOKUP(AH424,Dates!$B:$D,3,FALSE),"")</f>
        <v>1Q22</v>
      </c>
      <c r="AI425" s="303" t="str">
        <f>IFERROR(VLOOKUP(AI424,Dates!$B:$D,3,FALSE),"")</f>
        <v>2Q22</v>
      </c>
      <c r="AJ425" s="303" t="str">
        <f>IFERROR(VLOOKUP(AJ424,Dates!$B:$D,3,FALSE),"")</f>
        <v>3Q22</v>
      </c>
      <c r="AK425" s="303" t="str">
        <f>IFERROR(VLOOKUP(AK424,Dates!$B:$D,3,FALSE),"")</f>
        <v>4Q22</v>
      </c>
      <c r="AL425" s="303" t="str">
        <f>IFERROR(VLOOKUP(AL424,Dates!$B:$D,3,FALSE),"")</f>
        <v>1Q23</v>
      </c>
      <c r="AM425" s="303" t="str">
        <f>IFERROR(VLOOKUP(AM424,Dates!$B:$D,3,FALSE),"")</f>
        <v>2Q23</v>
      </c>
      <c r="AN425" s="303" t="str">
        <f>IFERROR(VLOOKUP(AN424,Dates!$B:$D,3,FALSE),"")</f>
        <v>3Q23</v>
      </c>
      <c r="AO425" s="303" t="str">
        <f>IFERROR(VLOOKUP(AO424,Dates!$B:$D,3,FALSE),"")</f>
        <v>4Q23</v>
      </c>
      <c r="AP425" s="303" t="str">
        <f>IFERROR(VLOOKUP(AP424,Dates!$B:$D,3,FALSE),"")</f>
        <v>1Q24</v>
      </c>
      <c r="AQ425" s="303" t="str">
        <f>IFERROR(VLOOKUP(AQ424,Dates!$B:$D,3,FALSE),"")</f>
        <v>2Q24</v>
      </c>
      <c r="AR425" s="303" t="str">
        <f>IFERROR(VLOOKUP(AR424,Dates!$B:$D,3,FALSE),"")</f>
        <v>3Q24</v>
      </c>
      <c r="AS425" s="303" t="str">
        <f>IFERROR(VLOOKUP(AS424,Dates!$B:$D,3,FALSE),"")</f>
        <v>4Q24</v>
      </c>
      <c r="AT425" s="303" t="str">
        <f>IFERROR(VLOOKUP(AT424,Dates!$B:$D,3,FALSE),"")</f>
        <v>1Q25</v>
      </c>
      <c r="AU425" s="315" t="str">
        <f>$G$3</f>
        <v>2Q25</v>
      </c>
    </row>
    <row r="426" spans="1:47">
      <c r="A426" s="49"/>
      <c r="B426" s="49"/>
      <c r="C426" s="49"/>
      <c r="D426" s="49"/>
      <c r="E426" s="49"/>
      <c r="F426" s="49"/>
      <c r="G426" s="49"/>
      <c r="H426" s="49"/>
      <c r="I426" s="49"/>
      <c r="J426" s="49"/>
      <c r="K426" s="49"/>
      <c r="L426" s="49"/>
      <c r="M426" s="49"/>
      <c r="N426" s="49"/>
      <c r="O426" s="49"/>
      <c r="P426" s="49"/>
      <c r="Q426" s="49"/>
      <c r="R426" s="49"/>
      <c r="S426" s="49"/>
      <c r="T426" s="49"/>
      <c r="U426" s="49"/>
      <c r="V426" s="49"/>
      <c r="W426" s="49"/>
      <c r="AA426" s="316" t="str">
        <f>'International Operations KPIs'!A31</f>
        <v>Data - Total Traffic (mn MB)</v>
      </c>
      <c r="AB426" s="317">
        <f>IFERROR(INDEX('International Operations KPIs'!$A:$ABB,MATCH($AA426,'International Operations KPIs'!$A:$A,0),MATCH(AB425,'International Operations KPIs'!$1:$1,0)),"")</f>
        <v>189798.35794607698</v>
      </c>
      <c r="AC426" s="317">
        <f>IFERROR(INDEX('International Operations KPIs'!$A:$ABB,MATCH($AA426,'International Operations KPIs'!$A:$A,0),MATCH(AC425,'International Operations KPIs'!$1:$1,0)),"")</f>
        <v>219015.22273317204</v>
      </c>
      <c r="AD426" s="317">
        <f>IFERROR(INDEX('International Operations KPIs'!$A:$ABB,MATCH($AA426,'International Operations KPIs'!$A:$A,0),MATCH(AD425,'International Operations KPIs'!$1:$1,0)),"")</f>
        <v>279540.604232991</v>
      </c>
      <c r="AE426" s="317">
        <f>IFERROR(INDEX('International Operations KPIs'!$A:$ABB,MATCH($AA426,'International Operations KPIs'!$A:$A,0),MATCH(AE425,'International Operations KPIs'!$1:$1,0)),"")</f>
        <v>293919.17664358404</v>
      </c>
      <c r="AF426" s="317">
        <f>IFERROR(INDEX('International Operations KPIs'!$A:$ABB,MATCH($AA426,'International Operations KPIs'!$A:$A,0),MATCH(AF425,'International Operations KPIs'!$1:$1,0)),"")</f>
        <v>320568.43407318904</v>
      </c>
      <c r="AG426" s="317">
        <f>IFERROR(INDEX('International Operations KPIs'!$A:$ABB,MATCH($AA426,'International Operations KPIs'!$A:$A,0),MATCH(AG425,'International Operations KPIs'!$1:$1,0)),"")</f>
        <v>348230.38199061499</v>
      </c>
      <c r="AH426" s="317">
        <f>IFERROR(INDEX('International Operations KPIs'!$A:$ABB,MATCH($AA426,'International Operations KPIs'!$A:$A,0),MATCH(AH425,'International Operations KPIs'!$1:$1,0)),"")</f>
        <v>410723</v>
      </c>
      <c r="AI426" s="317">
        <f>IFERROR(INDEX('International Operations KPIs'!$A:$ABB,MATCH($AA426,'International Operations KPIs'!$A:$A,0),MATCH(AI425,'International Operations KPIs'!$1:$1,0)),"")</f>
        <v>448911.87507589103</v>
      </c>
      <c r="AJ426" s="317">
        <f>IFERROR(INDEX('International Operations KPIs'!$A:$ABB,MATCH($AA426,'International Operations KPIs'!$A:$A,0),MATCH(AJ425,'International Operations KPIs'!$1:$1,0)),"")</f>
        <v>478813.00798904902</v>
      </c>
      <c r="AK426" s="317">
        <f>IFERROR(INDEX('International Operations KPIs'!$A:$ABB,MATCH($AA426,'International Operations KPIs'!$A:$A,0),MATCH(AK425,'International Operations KPIs'!$1:$1,0)),"")</f>
        <v>509303</v>
      </c>
      <c r="AL426" s="317">
        <f>IFERROR(INDEX('International Operations KPIs'!$A:$ABB,MATCH($AA426,'International Operations KPIs'!$A:$A,0),MATCH(AL425,'International Operations KPIs'!$1:$1,0)),"")</f>
        <v>568135.36225684278</v>
      </c>
      <c r="AM426" s="317">
        <f>IFERROR(INDEX('International Operations KPIs'!$A:$ABB,MATCH($AA426,'International Operations KPIs'!$A:$A,0),MATCH(AM425,'International Operations KPIs'!$1:$1,0)),"")</f>
        <v>647070.25059913774</v>
      </c>
      <c r="AN426" s="317">
        <f>IFERROR(INDEX('International Operations KPIs'!$A:$ABB,MATCH($AA426,'International Operations KPIs'!$A:$A,0),MATCH(AN425,'International Operations KPIs'!$1:$1,0)),"")</f>
        <v>692939.73350281245</v>
      </c>
      <c r="AO426" s="317">
        <f>IFERROR(INDEX('International Operations KPIs'!$A:$ABB,MATCH($AA426,'International Operations KPIs'!$A:$A,0),MATCH(AO425,'International Operations KPIs'!$1:$1,0)),"")</f>
        <v>732365.4460432441</v>
      </c>
      <c r="AP426" s="317">
        <f>IFERROR(INDEX('International Operations KPIs'!$A:$ABB,MATCH($AA426,'International Operations KPIs'!$A:$A,0),MATCH(AP425,'International Operations KPIs'!$1:$1,0)),"")</f>
        <v>823634.90773927525</v>
      </c>
      <c r="AQ426" s="317">
        <f>IFERROR(INDEX('International Operations KPIs'!$A:$ABB,MATCH($AA426,'International Operations KPIs'!$A:$A,0),MATCH(AQ425,'International Operations KPIs'!$1:$1,0)),"")</f>
        <v>917900.10329583497</v>
      </c>
      <c r="AR426" s="317">
        <f>IFERROR(INDEX('International Operations KPIs'!$A:$ABB,MATCH($AA426,'International Operations KPIs'!$A:$A,0),MATCH(AR425,'International Operations KPIs'!$1:$1,0)),"")</f>
        <v>1009040.3113167</v>
      </c>
      <c r="AS426" s="317">
        <f>IFERROR(INDEX('International Operations KPIs'!$A:$ABB,MATCH($AA426,'International Operations KPIs'!$A:$A,0),MATCH(AS425,'International Operations KPIs'!$1:$1,0)),"")</f>
        <v>1091328.5825163701</v>
      </c>
      <c r="AT426" s="317">
        <f>IFERROR(INDEX('International Operations KPIs'!$A:$ABB,MATCH($AA426,'International Operations KPIs'!$A:$A,0),MATCH(AT425,'International Operations KPIs'!$1:$1,0)),"")</f>
        <v>1189.0973646400039</v>
      </c>
      <c r="AU426" s="317">
        <f>IFERROR(INDEX('International Operations KPIs'!$A:$ABB,MATCH($AA426,'International Operations KPIs'!$A:$A,0),MATCH(AU425,'International Operations KPIs'!$1:$1,0)),"")</f>
        <v>1389.4813961591465</v>
      </c>
    </row>
    <row r="427" spans="1:47">
      <c r="A427" s="49"/>
      <c r="B427" s="49"/>
      <c r="C427" s="49"/>
      <c r="D427" s="49"/>
      <c r="E427" s="49"/>
      <c r="F427" s="49"/>
      <c r="G427" s="49"/>
      <c r="H427" s="49"/>
      <c r="I427" s="49"/>
      <c r="J427" s="49"/>
      <c r="K427" s="49"/>
      <c r="L427" s="49"/>
      <c r="M427" s="49"/>
      <c r="N427" s="49"/>
      <c r="O427" s="49"/>
      <c r="P427" s="49"/>
      <c r="Q427" s="49"/>
      <c r="R427" s="49"/>
      <c r="S427" s="49"/>
      <c r="T427" s="49"/>
      <c r="U427" s="49"/>
      <c r="V427" s="49"/>
      <c r="W427" s="49"/>
    </row>
    <row r="428" spans="1:47">
      <c r="A428" s="49"/>
      <c r="B428" s="49"/>
      <c r="C428" s="49"/>
      <c r="D428" s="49"/>
      <c r="E428" s="49"/>
      <c r="F428" s="49"/>
      <c r="G428" s="49"/>
      <c r="H428" s="49"/>
      <c r="I428" s="49"/>
      <c r="J428" s="49"/>
      <c r="K428" s="49"/>
      <c r="L428" s="49"/>
      <c r="M428" s="49"/>
      <c r="N428" s="49"/>
      <c r="O428" s="49"/>
      <c r="P428" s="49"/>
      <c r="Q428" s="49"/>
      <c r="R428" s="49"/>
      <c r="S428" s="49"/>
      <c r="T428" s="49"/>
      <c r="U428" s="49"/>
      <c r="V428" s="49"/>
      <c r="W428" s="49"/>
    </row>
    <row r="429" spans="1:47">
      <c r="A429" s="49"/>
      <c r="B429" s="49"/>
      <c r="C429" s="49"/>
      <c r="D429" s="49"/>
      <c r="E429" s="49"/>
      <c r="F429" s="49"/>
      <c r="G429" s="49"/>
      <c r="H429" s="49"/>
      <c r="I429" s="49"/>
      <c r="J429" s="49"/>
      <c r="K429" s="49"/>
      <c r="L429" s="49"/>
      <c r="M429" s="49"/>
      <c r="N429" s="49"/>
      <c r="O429" s="49"/>
      <c r="P429" s="49"/>
      <c r="Q429" s="49"/>
      <c r="R429" s="49"/>
      <c r="S429" s="49"/>
      <c r="T429" s="49"/>
      <c r="U429" s="49"/>
      <c r="V429" s="49"/>
      <c r="W429" s="49"/>
    </row>
    <row r="430" spans="1:47">
      <c r="A430" s="49"/>
      <c r="B430" s="49"/>
      <c r="C430" s="49"/>
      <c r="D430" s="49"/>
      <c r="E430" s="49"/>
      <c r="F430" s="49"/>
      <c r="G430" s="49"/>
      <c r="H430" s="49"/>
      <c r="I430" s="49"/>
      <c r="J430" s="49"/>
      <c r="K430" s="49"/>
      <c r="L430" s="49"/>
      <c r="M430" s="49"/>
      <c r="N430" s="49"/>
      <c r="O430" s="49"/>
      <c r="P430" s="49"/>
      <c r="Q430" s="49"/>
      <c r="R430" s="49"/>
      <c r="S430" s="49"/>
      <c r="T430" s="49"/>
      <c r="U430" s="49"/>
      <c r="V430" s="49"/>
      <c r="W430" s="49"/>
      <c r="AB430" s="303">
        <f t="shared" ref="AB430" si="647">AC430-1</f>
        <v>35</v>
      </c>
      <c r="AC430" s="303">
        <f t="shared" ref="AC430" si="648">AD430-1</f>
        <v>36</v>
      </c>
      <c r="AD430" s="303">
        <f t="shared" ref="AD430" si="649">AE430-1</f>
        <v>37</v>
      </c>
      <c r="AE430" s="303">
        <f t="shared" ref="AE430" si="650">AF430-1</f>
        <v>38</v>
      </c>
      <c r="AF430" s="303">
        <f t="shared" ref="AF430" si="651">AG430-1</f>
        <v>39</v>
      </c>
      <c r="AG430" s="303">
        <f t="shared" ref="AG430" si="652">AH430-1</f>
        <v>40</v>
      </c>
      <c r="AH430" s="303">
        <f t="shared" ref="AH430" si="653">AI430-1</f>
        <v>41</v>
      </c>
      <c r="AI430" s="303">
        <f t="shared" ref="AI430" si="654">AJ430-1</f>
        <v>42</v>
      </c>
      <c r="AJ430" s="303">
        <f t="shared" ref="AJ430" si="655">AK430-1</f>
        <v>43</v>
      </c>
      <c r="AK430" s="303">
        <f t="shared" ref="AK430" si="656">AL430-1</f>
        <v>44</v>
      </c>
      <c r="AL430" s="303">
        <f t="shared" ref="AL430" si="657">AM430-1</f>
        <v>45</v>
      </c>
      <c r="AM430" s="303">
        <f t="shared" ref="AM430" si="658">AN430-1</f>
        <v>46</v>
      </c>
      <c r="AN430" s="303">
        <f t="shared" ref="AN430" si="659">AO430-1</f>
        <v>47</v>
      </c>
      <c r="AO430" s="303">
        <f t="shared" ref="AO430" si="660">AP430-1</f>
        <v>48</v>
      </c>
      <c r="AP430" s="303">
        <f t="shared" ref="AP430" si="661">AQ430-1</f>
        <v>49</v>
      </c>
      <c r="AQ430" s="303">
        <f t="shared" ref="AQ430" si="662">AR430-1</f>
        <v>50</v>
      </c>
      <c r="AR430" s="303">
        <f t="shared" ref="AR430" si="663">AS430-1</f>
        <v>51</v>
      </c>
      <c r="AS430" s="303">
        <f t="shared" ref="AS430" si="664">AT430-1</f>
        <v>52</v>
      </c>
      <c r="AT430" s="303">
        <f t="shared" ref="AT430" si="665">AU430-1</f>
        <v>53</v>
      </c>
      <c r="AU430" s="303">
        <f>VLOOKUP(AU431,Dates!$A:$D,2,FALSE)</f>
        <v>54</v>
      </c>
    </row>
    <row r="431" spans="1:47">
      <c r="A431" s="49"/>
      <c r="B431" s="49"/>
      <c r="C431" s="49"/>
      <c r="D431" s="49"/>
      <c r="E431" s="49"/>
      <c r="F431" s="49"/>
      <c r="G431" s="49"/>
      <c r="H431" s="49"/>
      <c r="I431" s="49"/>
      <c r="J431" s="49"/>
      <c r="K431" s="49"/>
      <c r="L431" s="49"/>
      <c r="M431" s="49"/>
      <c r="N431" s="49"/>
      <c r="O431" s="49"/>
      <c r="P431" s="49"/>
      <c r="Q431" s="49"/>
      <c r="R431" s="49"/>
      <c r="S431" s="49"/>
      <c r="T431" s="49"/>
      <c r="U431" s="49"/>
      <c r="V431" s="49"/>
      <c r="W431" s="49"/>
      <c r="AB431" s="303" t="str">
        <f>IFERROR(VLOOKUP(AB430,Dates!$B:$D,3,FALSE),"")</f>
        <v>3Q20</v>
      </c>
      <c r="AC431" s="303" t="str">
        <f>IFERROR(VLOOKUP(AC430,Dates!$B:$D,3,FALSE),"")</f>
        <v>4Q20</v>
      </c>
      <c r="AD431" s="303" t="str">
        <f>IFERROR(VLOOKUP(AD430,Dates!$B:$D,3,FALSE),"")</f>
        <v>1Q21</v>
      </c>
      <c r="AE431" s="303" t="str">
        <f>IFERROR(VLOOKUP(AE430,Dates!$B:$D,3,FALSE),"")</f>
        <v>2Q21</v>
      </c>
      <c r="AF431" s="303" t="str">
        <f>IFERROR(VLOOKUP(AF430,Dates!$B:$D,3,FALSE),"")</f>
        <v>3Q21</v>
      </c>
      <c r="AG431" s="303" t="str">
        <f>IFERROR(VLOOKUP(AG430,Dates!$B:$D,3,FALSE),"")</f>
        <v>4Q21</v>
      </c>
      <c r="AH431" s="303" t="str">
        <f>IFERROR(VLOOKUP(AH430,Dates!$B:$D,3,FALSE),"")</f>
        <v>1Q22</v>
      </c>
      <c r="AI431" s="303" t="str">
        <f>IFERROR(VLOOKUP(AI430,Dates!$B:$D,3,FALSE),"")</f>
        <v>2Q22</v>
      </c>
      <c r="AJ431" s="303" t="str">
        <f>IFERROR(VLOOKUP(AJ430,Dates!$B:$D,3,FALSE),"")</f>
        <v>3Q22</v>
      </c>
      <c r="AK431" s="303" t="str">
        <f>IFERROR(VLOOKUP(AK430,Dates!$B:$D,3,FALSE),"")</f>
        <v>4Q22</v>
      </c>
      <c r="AL431" s="303" t="str">
        <f>IFERROR(VLOOKUP(AL430,Dates!$B:$D,3,FALSE),"")</f>
        <v>1Q23</v>
      </c>
      <c r="AM431" s="303" t="str">
        <f>IFERROR(VLOOKUP(AM430,Dates!$B:$D,3,FALSE),"")</f>
        <v>2Q23</v>
      </c>
      <c r="AN431" s="303" t="str">
        <f>IFERROR(VLOOKUP(AN430,Dates!$B:$D,3,FALSE),"")</f>
        <v>3Q23</v>
      </c>
      <c r="AO431" s="303" t="str">
        <f>IFERROR(VLOOKUP(AO430,Dates!$B:$D,3,FALSE),"")</f>
        <v>4Q23</v>
      </c>
      <c r="AP431" s="303" t="str">
        <f>IFERROR(VLOOKUP(AP430,Dates!$B:$D,3,FALSE),"")</f>
        <v>1Q24</v>
      </c>
      <c r="AQ431" s="303" t="str">
        <f>IFERROR(VLOOKUP(AQ430,Dates!$B:$D,3,FALSE),"")</f>
        <v>2Q24</v>
      </c>
      <c r="AR431" s="303" t="str">
        <f>IFERROR(VLOOKUP(AR430,Dates!$B:$D,3,FALSE),"")</f>
        <v>3Q24</v>
      </c>
      <c r="AS431" s="303" t="str">
        <f>IFERROR(VLOOKUP(AS430,Dates!$B:$D,3,FALSE),"")</f>
        <v>4Q24</v>
      </c>
      <c r="AT431" s="303" t="str">
        <f>IFERROR(VLOOKUP(AT430,Dates!$B:$D,3,FALSE),"")</f>
        <v>1Q25</v>
      </c>
      <c r="AU431" s="315" t="str">
        <f>$G$3</f>
        <v>2Q25</v>
      </c>
    </row>
    <row r="432" spans="1:47">
      <c r="A432" s="49"/>
      <c r="B432" s="49"/>
      <c r="C432" s="49"/>
      <c r="D432" s="49"/>
      <c r="E432" s="49"/>
      <c r="F432" s="49"/>
      <c r="G432" s="49"/>
      <c r="H432" s="49"/>
      <c r="I432" s="49"/>
      <c r="J432" s="49"/>
      <c r="K432" s="49"/>
      <c r="L432" s="49"/>
      <c r="M432" s="49"/>
      <c r="N432" s="49"/>
      <c r="O432" s="49"/>
      <c r="P432" s="49"/>
      <c r="Q432" s="49"/>
      <c r="R432" s="49"/>
      <c r="S432" s="49"/>
      <c r="T432" s="49"/>
      <c r="U432" s="49"/>
      <c r="V432" s="49"/>
      <c r="W432" s="49"/>
      <c r="AA432" s="316" t="str">
        <f>'International Operations KPIs'!A28</f>
        <v>Data Customers</v>
      </c>
      <c r="AB432" s="317">
        <f>IFERROR(INDEX('International Operations KPIs'!$A:$ABB,MATCH($AA432,'International Operations KPIs'!$A:$A,0),MATCH(AB431,'International Operations KPIs'!$1:$1,0)),"")</f>
        <v>32886.810381999996</v>
      </c>
      <c r="AC432" s="317">
        <f>IFERROR(INDEX('International Operations KPIs'!$A:$ABB,MATCH($AA432,'International Operations KPIs'!$A:$A,0),MATCH(AC431,'International Operations KPIs'!$1:$1,0)),"")</f>
        <v>35442.883999999998</v>
      </c>
      <c r="AD432" s="317">
        <f>IFERROR(INDEX('International Operations KPIs'!$A:$ABB,MATCH($AA432,'International Operations KPIs'!$A:$A,0),MATCH(AD431,'International Operations KPIs'!$1:$1,0)),"")</f>
        <v>36971.971936999995</v>
      </c>
      <c r="AE432" s="317">
        <f>IFERROR(INDEX('International Operations KPIs'!$A:$ABB,MATCH($AA432,'International Operations KPIs'!$A:$A,0),MATCH(AE431,'International Operations KPIs'!$1:$1,0)),"")</f>
        <v>39596.172999999995</v>
      </c>
      <c r="AF432" s="317">
        <f>IFERROR(INDEX('International Operations KPIs'!$A:$ABB,MATCH($AA432,'International Operations KPIs'!$A:$A,0),MATCH(AF431,'International Operations KPIs'!$1:$1,0)),"")</f>
        <v>40623.897999999994</v>
      </c>
      <c r="AG432" s="317">
        <f>IFERROR(INDEX('International Operations KPIs'!$A:$ABB,MATCH($AA432,'International Operations KPIs'!$A:$A,0),MATCH(AG431,'International Operations KPIs'!$1:$1,0)),"")</f>
        <v>40583.673999999992</v>
      </c>
      <c r="AH432" s="317">
        <f>IFERROR(INDEX('International Operations KPIs'!$A:$ABB,MATCH($AA432,'International Operations KPIs'!$A:$A,0),MATCH(AH431,'International Operations KPIs'!$1:$1,0)),"")</f>
        <v>42434</v>
      </c>
      <c r="AI432" s="317">
        <f>IFERROR(INDEX('International Operations KPIs'!$A:$ABB,MATCH($AA432,'International Operations KPIs'!$A:$A,0),MATCH(AI431,'International Operations KPIs'!$1:$1,0)),"")</f>
        <v>43920.006000000001</v>
      </c>
      <c r="AJ432" s="317">
        <f>IFERROR(INDEX('International Operations KPIs'!$A:$ABB,MATCH($AA432,'International Operations KPIs'!$A:$A,0),MATCH(AJ431,'International Operations KPIs'!$1:$1,0)),"")</f>
        <v>45113.750999999997</v>
      </c>
      <c r="AK432" s="317">
        <f>IFERROR(INDEX('International Operations KPIs'!$A:$ABB,MATCH($AA432,'International Operations KPIs'!$A:$A,0),MATCH(AK431,'International Operations KPIs'!$1:$1,0)),"")</f>
        <v>46734</v>
      </c>
      <c r="AL432" s="317">
        <f>IFERROR(INDEX('International Operations KPIs'!$A:$ABB,MATCH($AA432,'International Operations KPIs'!$A:$A,0),MATCH(AL431,'International Operations KPIs'!$1:$1,0)),"")</f>
        <v>46536.339</v>
      </c>
      <c r="AM432" s="317">
        <f>IFERROR(INDEX('International Operations KPIs'!$A:$ABB,MATCH($AA432,'International Operations KPIs'!$A:$A,0),MATCH(AM431,'International Operations KPIs'!$1:$1,0)),"")</f>
        <v>48594</v>
      </c>
      <c r="AN432" s="317">
        <f>IFERROR(INDEX('International Operations KPIs'!$A:$ABB,MATCH($AA432,'International Operations KPIs'!$A:$A,0),MATCH(AN431,'International Operations KPIs'!$1:$1,0)),"")</f>
        <v>51266.748</v>
      </c>
      <c r="AO432" s="317">
        <f>IFERROR(INDEX('International Operations KPIs'!$A:$ABB,MATCH($AA432,'International Operations KPIs'!$A:$A,0),MATCH(AO431,'International Operations KPIs'!$1:$1,0)),"")</f>
        <v>54647.945</v>
      </c>
      <c r="AP432" s="317">
        <f>IFERROR(INDEX('International Operations KPIs'!$A:$ABB,MATCH($AA432,'International Operations KPIs'!$A:$A,0),MATCH(AP431,'International Operations KPIs'!$1:$1,0)),"")</f>
        <v>56782.384000000005</v>
      </c>
      <c r="AQ432" s="317">
        <f>IFERROR(INDEX('International Operations KPIs'!$A:$ABB,MATCH($AA432,'International Operations KPIs'!$A:$A,0),MATCH(AQ431,'International Operations KPIs'!$1:$1,0)),"")</f>
        <v>59787.042000000001</v>
      </c>
      <c r="AR432" s="317">
        <f>IFERROR(INDEX('International Operations KPIs'!$A:$ABB,MATCH($AA432,'International Operations KPIs'!$A:$A,0),MATCH(AR431,'International Operations KPIs'!$1:$1,0)),"")</f>
        <v>62725.220187999999</v>
      </c>
      <c r="AS432" s="317">
        <f>IFERROR(INDEX('International Operations KPIs'!$A:$ABB,MATCH($AA432,'International Operations KPIs'!$A:$A,0),MATCH(AS431,'International Operations KPIs'!$1:$1,0)),"")</f>
        <v>64353.914000000004</v>
      </c>
      <c r="AT432" s="317">
        <f>IFERROR(INDEX('International Operations KPIs'!$A:$ABB,MATCH($AA432,'International Operations KPIs'!$A:$A,0),MATCH(AT431,'International Operations KPIs'!$1:$1,0)),"")</f>
        <v>64401.256999999998</v>
      </c>
      <c r="AU432" s="317">
        <f>IFERROR(INDEX('International Operations KPIs'!$A:$ABB,MATCH($AA432,'International Operations KPIs'!$A:$A,0),MATCH(AU431,'International Operations KPIs'!$1:$1,0)),"")</f>
        <v>66011.512999999992</v>
      </c>
    </row>
    <row r="433" spans="1:47">
      <c r="A433" s="49"/>
      <c r="B433" s="49"/>
      <c r="C433" s="49"/>
      <c r="D433" s="49"/>
      <c r="E433" s="49"/>
      <c r="F433" s="49"/>
      <c r="G433" s="49"/>
      <c r="H433" s="49"/>
      <c r="I433" s="49"/>
      <c r="J433" s="49"/>
      <c r="K433" s="49"/>
      <c r="L433" s="49"/>
      <c r="M433" s="49"/>
      <c r="N433" s="49"/>
      <c r="O433" s="49"/>
      <c r="P433" s="49"/>
      <c r="Q433" s="49"/>
      <c r="R433" s="49"/>
      <c r="S433" s="49"/>
      <c r="T433" s="49"/>
      <c r="U433" s="49"/>
      <c r="V433" s="49"/>
      <c r="W433" s="49"/>
    </row>
    <row r="434" spans="1:47">
      <c r="A434" s="49"/>
      <c r="B434" s="49"/>
      <c r="C434" s="49"/>
      <c r="D434" s="49"/>
      <c r="E434" s="49"/>
      <c r="F434" s="49"/>
      <c r="G434" s="49"/>
      <c r="H434" s="49"/>
      <c r="I434" s="49"/>
      <c r="J434" s="49"/>
      <c r="K434" s="49"/>
      <c r="L434" s="49"/>
      <c r="M434" s="49"/>
      <c r="N434" s="49"/>
      <c r="O434" s="49"/>
      <c r="P434" s="49"/>
      <c r="Q434" s="49"/>
      <c r="R434" s="49"/>
      <c r="S434" s="49"/>
      <c r="T434" s="49"/>
      <c r="U434" s="49"/>
      <c r="V434" s="49"/>
      <c r="W434" s="49"/>
    </row>
    <row r="435" spans="1:47">
      <c r="A435" s="49"/>
      <c r="B435" s="49"/>
      <c r="C435" s="49"/>
      <c r="D435" s="49"/>
      <c r="E435" s="49"/>
      <c r="F435" s="49"/>
      <c r="G435" s="49"/>
      <c r="H435" s="49"/>
      <c r="I435" s="49"/>
      <c r="J435" s="49"/>
      <c r="K435" s="49"/>
      <c r="L435" s="49"/>
      <c r="M435" s="49"/>
      <c r="N435" s="49"/>
      <c r="O435" s="49"/>
      <c r="P435" s="49"/>
      <c r="Q435" s="49"/>
      <c r="R435" s="49"/>
      <c r="S435" s="49"/>
      <c r="T435" s="49"/>
      <c r="U435" s="49"/>
      <c r="V435" s="49"/>
      <c r="W435" s="49"/>
    </row>
    <row r="436" spans="1:47">
      <c r="A436" s="49"/>
      <c r="B436" s="49"/>
      <c r="C436" s="49"/>
      <c r="D436" s="49"/>
      <c r="E436" s="49"/>
      <c r="F436" s="49"/>
      <c r="G436" s="49"/>
      <c r="H436" s="49"/>
      <c r="I436" s="49"/>
      <c r="J436" s="49"/>
      <c r="K436" s="49"/>
      <c r="L436" s="49"/>
      <c r="M436" s="49"/>
      <c r="N436" s="49"/>
      <c r="O436" s="49"/>
      <c r="P436" s="49"/>
      <c r="Q436" s="49"/>
      <c r="R436" s="49"/>
      <c r="S436" s="49"/>
      <c r="T436" s="49"/>
      <c r="U436" s="49"/>
      <c r="V436" s="49"/>
      <c r="W436" s="49"/>
    </row>
    <row r="437" spans="1:47">
      <c r="A437" s="49"/>
      <c r="B437" s="49"/>
      <c r="C437" s="49"/>
      <c r="D437" s="49"/>
      <c r="E437" s="49"/>
      <c r="F437" s="49"/>
      <c r="G437" s="49"/>
      <c r="H437" s="49"/>
      <c r="I437" s="49"/>
      <c r="J437" s="49"/>
      <c r="K437" s="49"/>
      <c r="L437" s="49"/>
      <c r="M437" s="49"/>
      <c r="N437" s="49"/>
      <c r="O437" s="49"/>
      <c r="P437" s="49"/>
      <c r="Q437" s="49"/>
      <c r="R437" s="49"/>
      <c r="S437" s="49"/>
      <c r="T437" s="49"/>
      <c r="U437" s="49"/>
      <c r="V437" s="49"/>
      <c r="W437" s="49"/>
    </row>
    <row r="438" spans="1:47">
      <c r="A438" s="49"/>
      <c r="B438" s="49"/>
      <c r="C438" s="49"/>
      <c r="D438" s="49"/>
      <c r="E438" s="49"/>
      <c r="F438" s="49"/>
      <c r="G438" s="49"/>
      <c r="H438" s="49"/>
      <c r="I438" s="49"/>
      <c r="J438" s="49"/>
      <c r="K438" s="49"/>
      <c r="L438" s="49"/>
      <c r="M438" s="49"/>
      <c r="N438" s="49"/>
      <c r="O438" s="49"/>
      <c r="P438" s="49"/>
      <c r="Q438" s="49"/>
      <c r="R438" s="49"/>
      <c r="S438" s="49"/>
      <c r="T438" s="49"/>
      <c r="U438" s="49"/>
      <c r="V438" s="49"/>
      <c r="W438" s="49"/>
    </row>
    <row r="439" spans="1:47">
      <c r="A439" s="49"/>
      <c r="B439" s="49"/>
      <c r="C439" s="49"/>
      <c r="D439" s="49"/>
      <c r="E439" s="49"/>
      <c r="F439" s="49"/>
      <c r="G439" s="49"/>
      <c r="H439" s="49"/>
      <c r="I439" s="49"/>
      <c r="J439" s="49"/>
      <c r="L439" s="49"/>
      <c r="M439" s="49"/>
      <c r="N439" s="49"/>
      <c r="O439" s="49"/>
      <c r="P439" s="49"/>
      <c r="Q439" s="49"/>
      <c r="R439" s="49"/>
      <c r="S439" s="49"/>
      <c r="T439" s="49"/>
      <c r="U439" s="49"/>
      <c r="V439" s="49"/>
      <c r="W439" s="49"/>
    </row>
    <row r="440" spans="1:47">
      <c r="A440" s="1" t="s">
        <v>446</v>
      </c>
      <c r="B440" s="1" t="s">
        <v>499</v>
      </c>
      <c r="C440" s="1"/>
      <c r="D440" s="1"/>
      <c r="E440" s="1"/>
      <c r="F440" s="1"/>
      <c r="G440" s="1"/>
      <c r="H440" s="1"/>
      <c r="I440" s="1"/>
      <c r="J440" s="1"/>
      <c r="K440" s="1" t="s">
        <v>447</v>
      </c>
      <c r="L440" s="1" t="s">
        <v>500</v>
      </c>
      <c r="M440" s="1"/>
      <c r="N440" s="1"/>
      <c r="O440" s="1"/>
      <c r="P440" s="1"/>
      <c r="Q440" s="1"/>
      <c r="R440" s="1"/>
      <c r="S440" s="1"/>
      <c r="T440" s="1"/>
      <c r="U440" s="49"/>
      <c r="V440" s="49"/>
      <c r="W440" s="49"/>
    </row>
    <row r="441" spans="1:47">
      <c r="A441" s="49"/>
      <c r="B441" s="49"/>
      <c r="C441" s="49"/>
      <c r="D441" s="49"/>
      <c r="E441" s="49"/>
      <c r="F441" s="49"/>
      <c r="G441" s="49"/>
      <c r="H441" s="49"/>
      <c r="I441" s="49"/>
      <c r="J441" s="49"/>
      <c r="K441" s="49"/>
      <c r="L441" s="49"/>
      <c r="M441" s="49"/>
      <c r="N441" s="49"/>
      <c r="O441" s="49"/>
      <c r="P441" s="49"/>
      <c r="Q441" s="49"/>
      <c r="R441" s="49"/>
      <c r="S441" s="49"/>
      <c r="T441" s="49"/>
      <c r="U441" s="49"/>
      <c r="V441" s="49"/>
      <c r="W441" s="49"/>
    </row>
    <row r="442" spans="1:47">
      <c r="A442" s="49"/>
      <c r="B442" s="49"/>
      <c r="C442" s="49"/>
      <c r="D442" s="49"/>
      <c r="E442" s="49"/>
      <c r="F442" s="49"/>
      <c r="G442" s="49"/>
      <c r="H442" s="49"/>
      <c r="I442" s="49"/>
      <c r="J442" s="49"/>
      <c r="K442" s="49"/>
      <c r="L442" s="49"/>
      <c r="M442" s="49"/>
      <c r="N442" s="49"/>
      <c r="O442" s="49"/>
      <c r="P442" s="49"/>
      <c r="Q442" s="49"/>
      <c r="R442" s="49"/>
      <c r="S442" s="49"/>
      <c r="T442" s="49"/>
      <c r="U442" s="49"/>
      <c r="V442" s="49"/>
      <c r="W442" s="49"/>
    </row>
    <row r="443" spans="1:47">
      <c r="A443" s="49"/>
      <c r="B443" s="49"/>
      <c r="C443" s="49"/>
      <c r="D443" s="49"/>
      <c r="E443" s="49"/>
      <c r="F443" s="49"/>
      <c r="G443" s="49"/>
      <c r="H443" s="49"/>
      <c r="I443" s="49"/>
      <c r="J443" s="49"/>
      <c r="K443" s="49"/>
      <c r="L443" s="49"/>
      <c r="M443" s="49"/>
      <c r="N443" s="49"/>
      <c r="O443" s="49"/>
      <c r="P443" s="49"/>
      <c r="Q443" s="49"/>
      <c r="R443" s="49"/>
      <c r="S443" s="49"/>
      <c r="T443" s="49"/>
      <c r="U443" s="49"/>
      <c r="V443" s="49"/>
      <c r="W443" s="49"/>
    </row>
    <row r="444" spans="1:47">
      <c r="A444" s="49"/>
      <c r="B444" s="49"/>
      <c r="C444" s="49"/>
      <c r="D444" s="49"/>
      <c r="E444" s="49"/>
      <c r="F444" s="49"/>
      <c r="G444" s="49"/>
      <c r="H444" s="49"/>
      <c r="I444" s="49"/>
      <c r="J444" s="49"/>
      <c r="K444" s="49"/>
      <c r="L444" s="49"/>
      <c r="M444" s="49"/>
      <c r="N444" s="49"/>
      <c r="O444" s="49"/>
      <c r="P444" s="49"/>
      <c r="Q444" s="49"/>
      <c r="R444" s="49"/>
      <c r="S444" s="49"/>
      <c r="T444" s="49"/>
      <c r="U444" s="49"/>
      <c r="V444" s="49"/>
      <c r="W444" s="49"/>
      <c r="AB444" s="303">
        <f t="shared" ref="AB444" si="666">AC444-1</f>
        <v>35</v>
      </c>
      <c r="AC444" s="303">
        <f t="shared" ref="AC444" si="667">AD444-1</f>
        <v>36</v>
      </c>
      <c r="AD444" s="303">
        <f t="shared" ref="AD444" si="668">AE444-1</f>
        <v>37</v>
      </c>
      <c r="AE444" s="303">
        <f t="shared" ref="AE444" si="669">AF444-1</f>
        <v>38</v>
      </c>
      <c r="AF444" s="303">
        <f t="shared" ref="AF444" si="670">AG444-1</f>
        <v>39</v>
      </c>
      <c r="AG444" s="303">
        <f t="shared" ref="AG444" si="671">AH444-1</f>
        <v>40</v>
      </c>
      <c r="AH444" s="303">
        <f t="shared" ref="AH444" si="672">AI444-1</f>
        <v>41</v>
      </c>
      <c r="AI444" s="303">
        <f t="shared" ref="AI444" si="673">AJ444-1</f>
        <v>42</v>
      </c>
      <c r="AJ444" s="303">
        <f t="shared" ref="AJ444" si="674">AK444-1</f>
        <v>43</v>
      </c>
      <c r="AK444" s="303">
        <f t="shared" ref="AK444" si="675">AL444-1</f>
        <v>44</v>
      </c>
      <c r="AL444" s="303">
        <f t="shared" ref="AL444" si="676">AM444-1</f>
        <v>45</v>
      </c>
      <c r="AM444" s="303">
        <f t="shared" ref="AM444" si="677">AN444-1</f>
        <v>46</v>
      </c>
      <c r="AN444" s="303">
        <f t="shared" ref="AN444" si="678">AO444-1</f>
        <v>47</v>
      </c>
      <c r="AO444" s="303">
        <f t="shared" ref="AO444" si="679">AP444-1</f>
        <v>48</v>
      </c>
      <c r="AP444" s="303">
        <f t="shared" ref="AP444" si="680">AQ444-1</f>
        <v>49</v>
      </c>
      <c r="AQ444" s="303">
        <f t="shared" ref="AQ444" si="681">AR444-1</f>
        <v>50</v>
      </c>
      <c r="AR444" s="303">
        <f t="shared" ref="AR444" si="682">AS444-1</f>
        <v>51</v>
      </c>
      <c r="AS444" s="303">
        <f t="shared" ref="AS444" si="683">AT444-1</f>
        <v>52</v>
      </c>
      <c r="AT444" s="303">
        <f t="shared" ref="AT444" si="684">AU444-1</f>
        <v>53</v>
      </c>
      <c r="AU444" s="303">
        <f>VLOOKUP(AU445,Dates!$A:$D,2,FALSE)</f>
        <v>54</v>
      </c>
    </row>
    <row r="445" spans="1:47">
      <c r="A445" s="49"/>
      <c r="B445" s="49"/>
      <c r="C445" s="49"/>
      <c r="D445" s="49"/>
      <c r="E445" s="49"/>
      <c r="F445" s="49"/>
      <c r="G445" s="49"/>
      <c r="H445" s="49"/>
      <c r="I445" s="49"/>
      <c r="J445" s="49"/>
      <c r="K445" s="49"/>
      <c r="L445" s="49"/>
      <c r="M445" s="49"/>
      <c r="N445" s="49"/>
      <c r="O445" s="49"/>
      <c r="P445" s="49"/>
      <c r="Q445" s="49"/>
      <c r="R445" s="49"/>
      <c r="S445" s="49"/>
      <c r="T445" s="49"/>
      <c r="U445" s="49"/>
      <c r="V445" s="49"/>
      <c r="W445" s="49"/>
      <c r="AB445" s="303" t="str">
        <f>IFERROR(VLOOKUP(AB444,Dates!$B:$D,3,FALSE),"")</f>
        <v>3Q20</v>
      </c>
      <c r="AC445" s="303" t="str">
        <f>IFERROR(VLOOKUP(AC444,Dates!$B:$D,3,FALSE),"")</f>
        <v>4Q20</v>
      </c>
      <c r="AD445" s="303" t="str">
        <f>IFERROR(VLOOKUP(AD444,Dates!$B:$D,3,FALSE),"")</f>
        <v>1Q21</v>
      </c>
      <c r="AE445" s="303" t="str">
        <f>IFERROR(VLOOKUP(AE444,Dates!$B:$D,3,FALSE),"")</f>
        <v>2Q21</v>
      </c>
      <c r="AF445" s="303" t="str">
        <f>IFERROR(VLOOKUP(AF444,Dates!$B:$D,3,FALSE),"")</f>
        <v>3Q21</v>
      </c>
      <c r="AG445" s="303" t="str">
        <f>IFERROR(VLOOKUP(AG444,Dates!$B:$D,3,FALSE),"")</f>
        <v>4Q21</v>
      </c>
      <c r="AH445" s="303" t="str">
        <f>IFERROR(VLOOKUP(AH444,Dates!$B:$D,3,FALSE),"")</f>
        <v>1Q22</v>
      </c>
      <c r="AI445" s="303" t="str">
        <f>IFERROR(VLOOKUP(AI444,Dates!$B:$D,3,FALSE),"")</f>
        <v>2Q22</v>
      </c>
      <c r="AJ445" s="303" t="str">
        <f>IFERROR(VLOOKUP(AJ444,Dates!$B:$D,3,FALSE),"")</f>
        <v>3Q22</v>
      </c>
      <c r="AK445" s="303" t="str">
        <f>IFERROR(VLOOKUP(AK444,Dates!$B:$D,3,FALSE),"")</f>
        <v>4Q22</v>
      </c>
      <c r="AL445" s="303" t="str">
        <f>IFERROR(VLOOKUP(AL444,Dates!$B:$D,3,FALSE),"")</f>
        <v>1Q23</v>
      </c>
      <c r="AM445" s="303" t="str">
        <f>IFERROR(VLOOKUP(AM444,Dates!$B:$D,3,FALSE),"")</f>
        <v>2Q23</v>
      </c>
      <c r="AN445" s="303" t="str">
        <f>IFERROR(VLOOKUP(AN444,Dates!$B:$D,3,FALSE),"")</f>
        <v>3Q23</v>
      </c>
      <c r="AO445" s="303" t="str">
        <f>IFERROR(VLOOKUP(AO444,Dates!$B:$D,3,FALSE),"")</f>
        <v>4Q23</v>
      </c>
      <c r="AP445" s="303" t="str">
        <f>IFERROR(VLOOKUP(AP444,Dates!$B:$D,3,FALSE),"")</f>
        <v>1Q24</v>
      </c>
      <c r="AQ445" s="303" t="str">
        <f>IFERROR(VLOOKUP(AQ444,Dates!$B:$D,3,FALSE),"")</f>
        <v>2Q24</v>
      </c>
      <c r="AR445" s="303" t="str">
        <f>IFERROR(VLOOKUP(AR444,Dates!$B:$D,3,FALSE),"")</f>
        <v>3Q24</v>
      </c>
      <c r="AS445" s="303" t="str">
        <f>IFERROR(VLOOKUP(AS444,Dates!$B:$D,3,FALSE),"")</f>
        <v>4Q24</v>
      </c>
      <c r="AT445" s="303" t="str">
        <f>IFERROR(VLOOKUP(AT444,Dates!$B:$D,3,FALSE),"")</f>
        <v>1Q25</v>
      </c>
      <c r="AU445" s="315" t="str">
        <f>$G$3</f>
        <v>2Q25</v>
      </c>
    </row>
    <row r="446" spans="1:47">
      <c r="A446" s="49"/>
      <c r="B446" s="49"/>
      <c r="C446" s="49"/>
      <c r="D446" s="49"/>
      <c r="E446" s="49"/>
      <c r="F446" s="49"/>
      <c r="G446" s="49"/>
      <c r="H446" s="49"/>
      <c r="I446" s="49"/>
      <c r="J446" s="49"/>
      <c r="K446" s="49"/>
      <c r="L446" s="49"/>
      <c r="M446" s="49"/>
      <c r="N446" s="49"/>
      <c r="O446" s="49"/>
      <c r="P446" s="49"/>
      <c r="Q446" s="49"/>
      <c r="R446" s="49"/>
      <c r="S446" s="49"/>
      <c r="T446" s="49"/>
      <c r="U446" s="49"/>
      <c r="V446" s="49"/>
      <c r="W446" s="49"/>
      <c r="AA446" s="316" t="str">
        <f>'International Financials'!A20</f>
        <v>EBITDA Africa</v>
      </c>
      <c r="AB446" s="317">
        <f>IFERROR(INDEX('International Financials'!$A:$ABB,MATCH($AA446,'International Financials'!$A:$A,0),MATCH(AB445,'International Financials'!$1:$1,0)),"")</f>
        <v>28330.852402844761</v>
      </c>
      <c r="AC446" s="317">
        <f>IFERROR(INDEX('International Financials'!$A:$ABB,MATCH($AA446,'International Financials'!$A:$A,0),MATCH(AC445,'International Financials'!$1:$1,0)),"")</f>
        <v>28640.351451533032</v>
      </c>
      <c r="AD446" s="317">
        <f>IFERROR(INDEX('International Financials'!$A:$ABB,MATCH($AA446,'International Financials'!$A:$A,0),MATCH(AD445,'International Financials'!$1:$1,0)),"")</f>
        <v>28425.237581814989</v>
      </c>
      <c r="AE446" s="317">
        <f>IFERROR(INDEX('International Financials'!$A:$ABB,MATCH($AA446,'International Financials'!$A:$A,0),MATCH(AE445,'International Financials'!$1:$1,0)),"")</f>
        <v>32452.604396361967</v>
      </c>
      <c r="AF446" s="317">
        <f>IFERROR(INDEX('International Financials'!$A:$ABB,MATCH($AA446,'International Financials'!$A:$A,0),MATCH(AF445,'International Financials'!$1:$1,0)),"")</f>
        <v>35852.111383891999</v>
      </c>
      <c r="AG446" s="317">
        <f>IFERROR(INDEX('International Financials'!$A:$ABB,MATCH($AA446,'International Financials'!$A:$A,0),MATCH(AG445,'International Financials'!$1:$1,0)),"")</f>
        <v>36250.037016255985</v>
      </c>
      <c r="AH446" s="317">
        <f>IFERROR(INDEX('International Financials'!$A:$ABB,MATCH($AA446,'International Financials'!$A:$A,0),MATCH(AH445,'International Financials'!$1:$1,0)),"")</f>
        <v>39272.835667117004</v>
      </c>
      <c r="AI446" s="317">
        <f>IFERROR(INDEX('International Financials'!$A:$ABB,MATCH($AA446,'International Financials'!$A:$A,0),MATCH(AI445,'International Financials'!$1:$1,0)),"")</f>
        <v>41743.257718275971</v>
      </c>
      <c r="AJ446" s="317">
        <f>IFERROR(INDEX('International Financials'!$A:$ABB,MATCH($AA446,'International Financials'!$A:$A,0),MATCH(AJ445,'International Financials'!$1:$1,0)),"")</f>
        <v>45189.595548540012</v>
      </c>
      <c r="AK446" s="317">
        <f>IFERROR(INDEX('International Financials'!$A:$ABB,MATCH($AA446,'International Financials'!$A:$A,0),MATCH(AK445,'International Financials'!$1:$1,0)),"")</f>
        <v>45865.058372405023</v>
      </c>
      <c r="AL446" s="317">
        <f>IFERROR(INDEX('International Financials'!$A:$ABB,MATCH($AA446,'International Financials'!$A:$A,0),MATCH(AL445,'International Financials'!$1:$1,0)),"")</f>
        <v>47381.327488894975</v>
      </c>
      <c r="AM446" s="317">
        <f>IFERROR(INDEX('International Financials'!$A:$ABB,MATCH($AA446,'International Financials'!$A:$A,0),MATCH(AM445,'International Financials'!$1:$1,0)),"")</f>
        <v>51251.757737889995</v>
      </c>
      <c r="AN446" s="317">
        <f>IFERROR(INDEX('International Financials'!$A:$ABB,MATCH($AA446,'International Financials'!$A:$A,0),MATCH(AN445,'International Financials'!$1:$1,0)),"")</f>
        <v>54467.657951169866</v>
      </c>
      <c r="AO446" s="317">
        <f>IFERROR(INDEX('International Financials'!$A:$ABB,MATCH($AA446,'International Financials'!$A:$A,0),MATCH(AO445,'International Financials'!$1:$1,0)),"")</f>
        <v>54180.045980566138</v>
      </c>
      <c r="AP446" s="317">
        <f>IFERROR(INDEX('International Financials'!$A:$ABB,MATCH($AA446,'International Financials'!$A:$A,0),MATCH(AP445,'International Financials'!$1:$1,0)),"")</f>
        <v>56030.824992768969</v>
      </c>
      <c r="AQ446" s="317">
        <f>IFERROR(INDEX('International Financials'!$A:$ABB,MATCH($AA446,'International Financials'!$A:$A,0),MATCH(AQ445,'International Financials'!$1:$1,0)),"")</f>
        <v>51157.696750332107</v>
      </c>
      <c r="AR446" s="317">
        <f>IFERROR(INDEX('International Financials'!$A:$ABB,MATCH($AA446,'International Financials'!$A:$A,0),MATCH(AR445,'International Financials'!$1:$1,0)),"")</f>
        <v>50590.337462133022</v>
      </c>
      <c r="AS446" s="317">
        <f>IFERROR(INDEX('International Financials'!$A:$ABB,MATCH($AA446,'International Financials'!$A:$A,0),MATCH(AS445,'International Financials'!$1:$1,0)),"")</f>
        <v>43236.906250850938</v>
      </c>
      <c r="AT446" s="317">
        <f>IFERROR(INDEX('International Financials'!$A:$ABB,MATCH($AA446,'International Financials'!$A:$A,0),MATCH(AT445,'International Financials'!$1:$1,0)),"")</f>
        <v>43616.529097564257</v>
      </c>
      <c r="AU446" s="317">
        <f>IFERROR(INDEX('International Financials'!$A:$ABB,MATCH($AA446,'International Financials'!$A:$A,0),MATCH(AU445,'International Financials'!$1:$1,0)),"")</f>
        <v>47258.500766475518</v>
      </c>
    </row>
    <row r="447" spans="1:47">
      <c r="A447" s="49"/>
      <c r="B447" s="49"/>
      <c r="C447" s="49"/>
      <c r="D447" s="49"/>
      <c r="E447" s="49"/>
      <c r="F447" s="49"/>
      <c r="G447" s="49"/>
      <c r="H447" s="49"/>
      <c r="I447" s="49"/>
      <c r="J447" s="49"/>
      <c r="K447" s="49"/>
      <c r="L447" s="49"/>
      <c r="M447" s="49"/>
      <c r="N447" s="49"/>
      <c r="O447" s="49"/>
      <c r="P447" s="49"/>
      <c r="Q447" s="49"/>
      <c r="R447" s="49"/>
      <c r="S447" s="49"/>
      <c r="T447" s="49"/>
      <c r="U447" s="49"/>
      <c r="V447" s="49"/>
      <c r="W447" s="49"/>
      <c r="AA447" s="316" t="str">
        <f>'International Financials'!A62</f>
        <v>Africa EBITDA margin</v>
      </c>
      <c r="AB447" s="318">
        <f>IFERROR(INDEX('International Financials'!$A:$ABB,MATCH($AA447,'International Financials'!$A:$A,0),MATCH(AB445,'International Financials'!$1:$1,0)),"")</f>
        <v>0.45190255671087265</v>
      </c>
      <c r="AC447" s="318">
        <f>IFERROR(INDEX('International Financials'!$A:$ABB,MATCH($AA447,'International Financials'!$A:$A,0),MATCH(AC445,'International Financials'!$1:$1,0)),"")</f>
        <v>0.44137838147561453</v>
      </c>
      <c r="AD447" s="318">
        <f>IFERROR(INDEX('International Financials'!$A:$ABB,MATCH($AA447,'International Financials'!$A:$A,0),MATCH(AD445,'International Financials'!$1:$1,0)),"")</f>
        <v>0.44061400481335145</v>
      </c>
      <c r="AE447" s="318">
        <f>IFERROR(INDEX('International Financials'!$A:$ABB,MATCH($AA447,'International Financials'!$A:$A,0),MATCH(AE445,'International Financials'!$1:$1,0)),"")</f>
        <v>0.45286693040595249</v>
      </c>
      <c r="AF447" s="318">
        <f>IFERROR(INDEX('International Financials'!$A:$ABB,MATCH($AA447,'International Financials'!$A:$A,0),MATCH(AF445,'International Financials'!$1:$1,0)),"")</f>
        <v>0.46901345715543175</v>
      </c>
      <c r="AG447" s="318">
        <f>IFERROR(INDEX('International Financials'!$A:$ABB,MATCH($AA447,'International Financials'!$A:$A,0),MATCH(AG445,'International Financials'!$1:$1,0)),"")</f>
        <v>0.47686442432470733</v>
      </c>
      <c r="AH447" s="318">
        <f>IFERROR(INDEX('International Financials'!$A:$ABB,MATCH($AA447,'International Financials'!$A:$A,0),MATCH(AH445,'International Financials'!$1:$1,0)),"")</f>
        <v>0.48026563465246708</v>
      </c>
      <c r="AI447" s="318">
        <f>IFERROR(INDEX('International Financials'!$A:$ABB,MATCH($AA447,'International Financials'!$A:$A,0),MATCH(AI445,'International Financials'!$1:$1,0)),"")</f>
        <v>0.48586310321679771</v>
      </c>
      <c r="AJ447" s="318">
        <f>IFERROR(INDEX('International Financials'!$A:$ABB,MATCH($AA447,'International Financials'!$A:$A,0),MATCH(AJ445,'International Financials'!$1:$1,0)),"")</f>
        <v>0.49629990827913428</v>
      </c>
      <c r="AK447" s="318">
        <f>IFERROR(INDEX('International Financials'!$A:$ABB,MATCH($AA447,'International Financials'!$A:$A,0),MATCH(AK445,'International Financials'!$1:$1,0)),"")</f>
        <v>0.49923119253280041</v>
      </c>
      <c r="AL447" s="318">
        <f>IFERROR(INDEX('International Financials'!$A:$ABB,MATCH($AA447,'International Financials'!$A:$A,0),MATCH(AL445,'International Financials'!$1:$1,0)),"")</f>
        <v>0.48836280179943709</v>
      </c>
      <c r="AM447" s="318">
        <f>IFERROR(INDEX('International Financials'!$A:$ABB,MATCH($AA447,'International Financials'!$A:$A,0),MATCH(AM445,'International Financials'!$1:$1,0)),"")</f>
        <v>0.49067369493242841</v>
      </c>
      <c r="AN447" s="318">
        <f>IFERROR(INDEX('International Financials'!$A:$ABB,MATCH($AA447,'International Financials'!$A:$A,0),MATCH(AN445,'International Financials'!$1:$1,0)),"")</f>
        <v>0.49124484180344558</v>
      </c>
      <c r="AO447" s="318">
        <f>IFERROR(INDEX('International Financials'!$A:$ABB,MATCH($AA447,'International Financials'!$A:$A,0),MATCH(AO445,'International Financials'!$1:$1,0)),"")</f>
        <v>0.49114035696558406</v>
      </c>
      <c r="AP447" s="318">
        <f>IFERROR(INDEX('International Financials'!$A:$ABB,MATCH($AA447,'International Financials'!$A:$A,0),MATCH(AP445,'International Financials'!$1:$1,0)),"")</f>
        <v>0.49510981370982499</v>
      </c>
      <c r="AQ447" s="318">
        <f>IFERROR(INDEX('International Financials'!$A:$ABB,MATCH($AA447,'International Financials'!$A:$A,0),MATCH(AQ445,'International Financials'!$1:$1,0)),"")</f>
        <v>0.49779966603096665</v>
      </c>
      <c r="AR447" s="318">
        <f>IFERROR(INDEX('International Financials'!$A:$ABB,MATCH($AA447,'International Financials'!$A:$A,0),MATCH(AR445,'International Financials'!$1:$1,0)),"")</f>
        <v>0.49130020946084391</v>
      </c>
      <c r="AS447" s="318">
        <f>IFERROR(INDEX('International Financials'!$A:$ABB,MATCH($AA447,'International Financials'!$A:$A,0),MATCH(AS445,'International Financials'!$1:$1,0)),"")</f>
        <v>0.46525064271293493</v>
      </c>
      <c r="AT447" s="318">
        <f>IFERROR(INDEX('International Financials'!$A:$ABB,MATCH($AA447,'International Financials'!$A:$A,0),MATCH(AT445,'International Financials'!$1:$1,0)),"")</f>
        <v>0.45259752911436002</v>
      </c>
      <c r="AU447" s="318">
        <f>IFERROR(INDEX('International Financials'!$A:$ABB,MATCH($AA447,'International Financials'!$A:$A,0),MATCH(AU445,'International Financials'!$1:$1,0)),"")</f>
        <v>0.46500012482004588</v>
      </c>
    </row>
    <row r="448" spans="1:47">
      <c r="A448" s="49"/>
      <c r="B448" s="49"/>
      <c r="C448" s="49"/>
      <c r="D448" s="49"/>
      <c r="E448" s="49"/>
      <c r="F448" s="49"/>
      <c r="G448" s="49"/>
      <c r="H448" s="49"/>
      <c r="I448" s="49"/>
      <c r="J448" s="49"/>
      <c r="K448" s="49"/>
      <c r="L448" s="49"/>
      <c r="M448" s="49"/>
      <c r="N448" s="49"/>
      <c r="O448" s="49"/>
      <c r="P448" s="49"/>
      <c r="Q448" s="49"/>
      <c r="R448" s="49"/>
      <c r="S448" s="49"/>
      <c r="T448" s="49"/>
      <c r="U448" s="49"/>
      <c r="V448" s="49"/>
      <c r="W448" s="49"/>
    </row>
    <row r="449" spans="1:47">
      <c r="A449" s="49"/>
      <c r="B449" s="49"/>
      <c r="C449" s="49"/>
      <c r="D449" s="49"/>
      <c r="E449" s="49"/>
      <c r="F449" s="49"/>
      <c r="G449" s="49"/>
      <c r="H449" s="49"/>
      <c r="I449" s="49"/>
      <c r="J449" s="49"/>
      <c r="K449" s="49"/>
      <c r="L449" s="49"/>
      <c r="M449" s="49"/>
      <c r="N449" s="49"/>
      <c r="O449" s="49"/>
      <c r="P449" s="49"/>
      <c r="Q449" s="49"/>
      <c r="R449" s="49"/>
      <c r="S449" s="49"/>
      <c r="T449" s="49"/>
      <c r="U449" s="49"/>
      <c r="V449" s="49"/>
      <c r="W449" s="49"/>
    </row>
    <row r="450" spans="1:47">
      <c r="A450" s="49"/>
      <c r="B450" s="49"/>
      <c r="C450" s="49"/>
      <c r="D450" s="49"/>
      <c r="E450" s="49"/>
      <c r="F450" s="49"/>
      <c r="G450" s="49"/>
      <c r="H450" s="49"/>
      <c r="I450" s="49"/>
      <c r="J450" s="49"/>
      <c r="K450" s="49"/>
      <c r="L450" s="49"/>
      <c r="M450" s="49"/>
      <c r="N450" s="49"/>
      <c r="O450" s="49"/>
      <c r="P450" s="49"/>
      <c r="Q450" s="49"/>
      <c r="R450" s="49"/>
      <c r="S450" s="49"/>
      <c r="T450" s="49"/>
      <c r="U450" s="49"/>
      <c r="V450" s="49"/>
      <c r="W450" s="49"/>
      <c r="AB450" s="303">
        <f t="shared" ref="AB450" si="685">AC450-1</f>
        <v>35</v>
      </c>
      <c r="AC450" s="303">
        <f t="shared" ref="AC450" si="686">AD450-1</f>
        <v>36</v>
      </c>
      <c r="AD450" s="303">
        <f t="shared" ref="AD450" si="687">AE450-1</f>
        <v>37</v>
      </c>
      <c r="AE450" s="303">
        <f t="shared" ref="AE450" si="688">AF450-1</f>
        <v>38</v>
      </c>
      <c r="AF450" s="303">
        <f t="shared" ref="AF450" si="689">AG450-1</f>
        <v>39</v>
      </c>
      <c r="AG450" s="303">
        <f t="shared" ref="AG450" si="690">AH450-1</f>
        <v>40</v>
      </c>
      <c r="AH450" s="303">
        <f t="shared" ref="AH450" si="691">AI450-1</f>
        <v>41</v>
      </c>
      <c r="AI450" s="303">
        <f t="shared" ref="AI450" si="692">AJ450-1</f>
        <v>42</v>
      </c>
      <c r="AJ450" s="303">
        <f t="shared" ref="AJ450" si="693">AK450-1</f>
        <v>43</v>
      </c>
      <c r="AK450" s="303">
        <f t="shared" ref="AK450" si="694">AL450-1</f>
        <v>44</v>
      </c>
      <c r="AL450" s="303">
        <f t="shared" ref="AL450" si="695">AM450-1</f>
        <v>45</v>
      </c>
      <c r="AM450" s="303">
        <f t="shared" ref="AM450" si="696">AN450-1</f>
        <v>46</v>
      </c>
      <c r="AN450" s="303">
        <f t="shared" ref="AN450" si="697">AO450-1</f>
        <v>47</v>
      </c>
      <c r="AO450" s="303">
        <f t="shared" ref="AO450" si="698">AP450-1</f>
        <v>48</v>
      </c>
      <c r="AP450" s="303">
        <f t="shared" ref="AP450" si="699">AQ450-1</f>
        <v>49</v>
      </c>
      <c r="AQ450" s="303">
        <f t="shared" ref="AQ450" si="700">AR450-1</f>
        <v>50</v>
      </c>
      <c r="AR450" s="303">
        <f t="shared" ref="AR450" si="701">AS450-1</f>
        <v>51</v>
      </c>
      <c r="AS450" s="303">
        <f t="shared" ref="AS450" si="702">AT450-1</f>
        <v>52</v>
      </c>
      <c r="AT450" s="303">
        <f t="shared" ref="AT450" si="703">AU450-1</f>
        <v>53</v>
      </c>
      <c r="AU450" s="303">
        <f>VLOOKUP(AU451,Dates!$A:$D,2,FALSE)</f>
        <v>54</v>
      </c>
    </row>
    <row r="451" spans="1:47">
      <c r="A451" s="49"/>
      <c r="B451" s="49"/>
      <c r="C451" s="49"/>
      <c r="D451" s="49"/>
      <c r="E451" s="49"/>
      <c r="F451" s="49"/>
      <c r="G451" s="49"/>
      <c r="H451" s="49"/>
      <c r="I451" s="49"/>
      <c r="J451" s="49"/>
      <c r="K451" s="49"/>
      <c r="L451" s="49"/>
      <c r="M451" s="49"/>
      <c r="N451" s="49"/>
      <c r="O451" s="49"/>
      <c r="P451" s="49"/>
      <c r="Q451" s="49"/>
      <c r="R451" s="49"/>
      <c r="S451" s="49"/>
      <c r="T451" s="49"/>
      <c r="U451" s="49"/>
      <c r="V451" s="49"/>
      <c r="W451" s="49"/>
      <c r="AB451" s="303" t="str">
        <f>IFERROR(VLOOKUP(AB450,Dates!$B:$D,3,FALSE),"")</f>
        <v>3Q20</v>
      </c>
      <c r="AC451" s="303" t="str">
        <f>IFERROR(VLOOKUP(AC450,Dates!$B:$D,3,FALSE),"")</f>
        <v>4Q20</v>
      </c>
      <c r="AD451" s="303" t="str">
        <f>IFERROR(VLOOKUP(AD450,Dates!$B:$D,3,FALSE),"")</f>
        <v>1Q21</v>
      </c>
      <c r="AE451" s="303" t="str">
        <f>IFERROR(VLOOKUP(AE450,Dates!$B:$D,3,FALSE),"")</f>
        <v>2Q21</v>
      </c>
      <c r="AF451" s="303" t="str">
        <f>IFERROR(VLOOKUP(AF450,Dates!$B:$D,3,FALSE),"")</f>
        <v>3Q21</v>
      </c>
      <c r="AG451" s="303" t="str">
        <f>IFERROR(VLOOKUP(AG450,Dates!$B:$D,3,FALSE),"")</f>
        <v>4Q21</v>
      </c>
      <c r="AH451" s="303" t="str">
        <f>IFERROR(VLOOKUP(AH450,Dates!$B:$D,3,FALSE),"")</f>
        <v>1Q22</v>
      </c>
      <c r="AI451" s="303" t="str">
        <f>IFERROR(VLOOKUP(AI450,Dates!$B:$D,3,FALSE),"")</f>
        <v>2Q22</v>
      </c>
      <c r="AJ451" s="303" t="str">
        <f>IFERROR(VLOOKUP(AJ450,Dates!$B:$D,3,FALSE),"")</f>
        <v>3Q22</v>
      </c>
      <c r="AK451" s="303" t="str">
        <f>IFERROR(VLOOKUP(AK450,Dates!$B:$D,3,FALSE),"")</f>
        <v>4Q22</v>
      </c>
      <c r="AL451" s="303" t="str">
        <f>IFERROR(VLOOKUP(AL450,Dates!$B:$D,3,FALSE),"")</f>
        <v>1Q23</v>
      </c>
      <c r="AM451" s="303" t="str">
        <f>IFERROR(VLOOKUP(AM450,Dates!$B:$D,3,FALSE),"")</f>
        <v>2Q23</v>
      </c>
      <c r="AN451" s="303" t="str">
        <f>IFERROR(VLOOKUP(AN450,Dates!$B:$D,3,FALSE),"")</f>
        <v>3Q23</v>
      </c>
      <c r="AO451" s="303" t="str">
        <f>IFERROR(VLOOKUP(AO450,Dates!$B:$D,3,FALSE),"")</f>
        <v>4Q23</v>
      </c>
      <c r="AP451" s="303" t="str">
        <f>IFERROR(VLOOKUP(AP450,Dates!$B:$D,3,FALSE),"")</f>
        <v>1Q24</v>
      </c>
      <c r="AQ451" s="303" t="str">
        <f>IFERROR(VLOOKUP(AQ450,Dates!$B:$D,3,FALSE),"")</f>
        <v>2Q24</v>
      </c>
      <c r="AR451" s="303" t="str">
        <f>IFERROR(VLOOKUP(AR450,Dates!$B:$D,3,FALSE),"")</f>
        <v>3Q24</v>
      </c>
      <c r="AS451" s="303" t="str">
        <f>IFERROR(VLOOKUP(AS450,Dates!$B:$D,3,FALSE),"")</f>
        <v>4Q24</v>
      </c>
      <c r="AT451" s="303" t="str">
        <f>IFERROR(VLOOKUP(AT450,Dates!$B:$D,3,FALSE),"")</f>
        <v>1Q25</v>
      </c>
      <c r="AU451" s="315" t="str">
        <f>$G$3</f>
        <v>2Q25</v>
      </c>
    </row>
    <row r="452" spans="1:47">
      <c r="A452" s="49"/>
      <c r="B452" s="49"/>
      <c r="C452" s="49"/>
      <c r="D452" s="49"/>
      <c r="E452" s="49"/>
      <c r="F452" s="49"/>
      <c r="G452" s="49"/>
      <c r="H452" s="49"/>
      <c r="I452" s="49"/>
      <c r="J452" s="49"/>
      <c r="K452" s="49"/>
      <c r="L452" s="49"/>
      <c r="M452" s="49"/>
      <c r="N452" s="49"/>
      <c r="O452" s="49"/>
      <c r="P452" s="49"/>
      <c r="Q452" s="49"/>
      <c r="R452" s="49"/>
      <c r="S452" s="49"/>
      <c r="T452" s="49"/>
      <c r="U452" s="49"/>
      <c r="V452" s="49"/>
      <c r="W452" s="49"/>
      <c r="AA452" s="316" t="str">
        <f>'International Financials'!A24</f>
        <v>Net Income Africa</v>
      </c>
      <c r="AB452" s="317">
        <f>IFERROR(INDEX('International Financials'!$A:$ABB,MATCH($AA452,'International Financials'!$A:$A,0),MATCH(AB451,'International Financials'!$1:$1,0)),"")</f>
        <v>2462.5364080469953</v>
      </c>
      <c r="AC452" s="317">
        <f>IFERROR(INDEX('International Financials'!$A:$ABB,MATCH($AA452,'International Financials'!$A:$A,0),MATCH(AC451,'International Financials'!$1:$1,0)),"")</f>
        <v>2707</v>
      </c>
      <c r="AD452" s="317">
        <f>IFERROR(INDEX('International Financials'!$A:$ABB,MATCH($AA452,'International Financials'!$A:$A,0),MATCH(AD451,'International Financials'!$1:$1,0)),"")</f>
        <v>2175.7640767192502</v>
      </c>
      <c r="AE452" s="317">
        <f>IFERROR(INDEX('International Financials'!$A:$ABB,MATCH($AA452,'International Financials'!$A:$A,0),MATCH(AE451,'International Financials'!$1:$1,0)),"")</f>
        <v>3659.3843296127502</v>
      </c>
      <c r="AF452" s="317">
        <f>IFERROR(INDEX('International Financials'!$A:$ABB,MATCH($AA452,'International Financials'!$A:$A,0),MATCH(AF451,'International Financials'!$1:$1,0)),"")</f>
        <v>3016.769455338997</v>
      </c>
      <c r="AG452" s="317">
        <f>IFERROR(INDEX('International Financials'!$A:$ABB,MATCH($AA452,'International Financials'!$A:$A,0),MATCH(AG451,'International Financials'!$1:$1,0)),"")</f>
        <v>4919.2500143419893</v>
      </c>
      <c r="AH452" s="317">
        <f>IFERROR(INDEX('International Financials'!$A:$ABB,MATCH($AA452,'International Financials'!$A:$A,0),MATCH(AH451,'International Financials'!$1:$1,0)),"")</f>
        <v>4960.5965010890031</v>
      </c>
      <c r="AI452" s="317">
        <f>IFERROR(INDEX('International Financials'!$A:$ABB,MATCH($AA452,'International Financials'!$A:$A,0),MATCH(AI451,'International Financials'!$1:$1,0)),"")</f>
        <v>6577.9524669209695</v>
      </c>
      <c r="AJ452" s="317">
        <f>IFERROR(INDEX('International Financials'!$A:$ABB,MATCH($AA452,'International Financials'!$A:$A,0),MATCH(AJ451,'International Financials'!$1:$1,0)),"")</f>
        <v>6227.0722558230082</v>
      </c>
      <c r="AK452" s="317">
        <f>IFERROR(INDEX('International Financials'!$A:$ABB,MATCH($AA452,'International Financials'!$A:$A,0),MATCH(AK451,'International Financials'!$1:$1,0)),"")</f>
        <v>7169.1641924170144</v>
      </c>
      <c r="AL452" s="317">
        <f>IFERROR(INDEX('International Financials'!$A:$ABB,MATCH($AA452,'International Financials'!$A:$A,0),MATCH(AL451,'International Financials'!$1:$1,0)),"")</f>
        <v>6120.409974289988</v>
      </c>
      <c r="AM452" s="317">
        <f>IFERROR(INDEX('International Financials'!$A:$ABB,MATCH($AA452,'International Financials'!$A:$A,0),MATCH(AM451,'International Financials'!$1:$1,0)),"")</f>
        <v>4825</v>
      </c>
      <c r="AN452" s="317">
        <f>IFERROR(INDEX('International Financials'!$A:$ABB,MATCH($AA452,'International Financials'!$A:$A,0),MATCH(AN451,'International Financials'!$1:$1,0)),"")</f>
        <v>6924.0673167358491</v>
      </c>
      <c r="AO452" s="317">
        <f>IFERROR(INDEX('International Financials'!$A:$ABB,MATCH($AA452,'International Financials'!$A:$A,0),MATCH(AO451,'International Financials'!$1:$1,0)),"")</f>
        <v>4854</v>
      </c>
      <c r="AP452" s="317">
        <f>IFERROR(INDEX('International Financials'!$A:$ABB,MATCH($AA452,'International Financials'!$A:$A,0),MATCH(AP451,'International Financials'!$1:$1,0)),"")</f>
        <v>6742.4845738209715</v>
      </c>
      <c r="AQ452" s="317">
        <f>IFERROR(INDEX('International Financials'!$A:$ABB,MATCH($AA452,'International Financials'!$A:$A,0),MATCH(AQ451,'International Financials'!$1:$1,0)),"")</f>
        <v>5328.8170911420912</v>
      </c>
      <c r="AR452" s="317">
        <f>IFERROR(INDEX('International Financials'!$A:$ABB,MATCH($AA452,'International Financials'!$A:$A,0),MATCH(AR451,'International Financials'!$1:$1,0)),"")</f>
        <v>75.964334203021281</v>
      </c>
      <c r="AS452" s="317">
        <f>IFERROR(INDEX('International Financials'!$A:$ABB,MATCH($AA452,'International Financials'!$A:$A,0),MATCH(AS451,'International Financials'!$1:$1,0)),"")</f>
        <v>5320.1080055579132</v>
      </c>
      <c r="AT452" s="317">
        <f>IFERROR(INDEX('International Financials'!$A:$ABB,MATCH($AA452,'International Financials'!$A:$A,0),MATCH(AT451,'International Financials'!$1:$1,0)),"")</f>
        <v>4016.874354787411</v>
      </c>
      <c r="AU452" s="317">
        <f>IFERROR(INDEX('International Financials'!$A:$ABB,MATCH($AA452,'International Financials'!$A:$A,0),MATCH(AU451,'International Financials'!$1:$1,0)),"")</f>
        <v>4553.5305191217758</v>
      </c>
    </row>
    <row r="453" spans="1:47">
      <c r="A453" s="49"/>
      <c r="B453" s="49"/>
      <c r="C453" s="49"/>
      <c r="D453" s="49"/>
      <c r="E453" s="49"/>
      <c r="F453" s="49"/>
      <c r="G453" s="49"/>
      <c r="H453" s="49"/>
      <c r="I453" s="49"/>
      <c r="J453" s="49"/>
      <c r="K453" s="49"/>
      <c r="L453" s="49"/>
      <c r="M453" s="49"/>
      <c r="N453" s="49"/>
      <c r="O453" s="49"/>
      <c r="P453" s="49"/>
      <c r="Q453" s="49"/>
      <c r="R453" s="49"/>
      <c r="S453" s="49"/>
      <c r="T453" s="49"/>
      <c r="U453" s="49"/>
      <c r="V453" s="49"/>
      <c r="W453" s="49"/>
    </row>
    <row r="454" spans="1:47">
      <c r="A454" s="49"/>
      <c r="B454" s="49"/>
      <c r="C454" s="49"/>
      <c r="D454" s="49"/>
      <c r="E454" s="49"/>
      <c r="F454" s="49"/>
      <c r="G454" s="49"/>
      <c r="H454" s="49"/>
      <c r="I454" s="49"/>
      <c r="J454" s="49"/>
      <c r="K454" s="49"/>
      <c r="L454" s="49"/>
      <c r="M454" s="49"/>
      <c r="N454" s="49"/>
      <c r="O454" s="49"/>
      <c r="P454" s="49"/>
      <c r="Q454" s="49"/>
      <c r="R454" s="49"/>
      <c r="S454" s="49"/>
      <c r="T454" s="49"/>
      <c r="U454" s="49"/>
      <c r="V454" s="49"/>
      <c r="W454" s="49"/>
    </row>
    <row r="455" spans="1:47">
      <c r="A455" s="49"/>
      <c r="B455" s="49"/>
      <c r="C455" s="49"/>
      <c r="D455" s="49"/>
      <c r="E455" s="49"/>
      <c r="F455" s="49"/>
      <c r="G455" s="49"/>
      <c r="H455" s="49"/>
      <c r="I455" s="49"/>
      <c r="J455" s="49"/>
      <c r="K455" s="49"/>
      <c r="L455" s="49"/>
      <c r="M455" s="49"/>
      <c r="N455" s="49"/>
      <c r="O455" s="49"/>
      <c r="P455" s="49"/>
      <c r="Q455" s="49"/>
      <c r="R455" s="49"/>
      <c r="S455" s="49"/>
      <c r="T455" s="49"/>
      <c r="U455" s="49"/>
      <c r="V455" s="49"/>
      <c r="W455" s="49"/>
    </row>
    <row r="456" spans="1:47">
      <c r="A456" s="49"/>
      <c r="B456" s="49"/>
      <c r="C456" s="49"/>
      <c r="D456" s="49"/>
      <c r="E456" s="49"/>
      <c r="F456" s="49"/>
      <c r="G456" s="49"/>
      <c r="H456" s="49"/>
      <c r="I456" s="49"/>
      <c r="J456" s="49"/>
      <c r="K456" s="49"/>
      <c r="L456" s="49"/>
      <c r="M456" s="49"/>
      <c r="N456" s="49"/>
      <c r="O456" s="49"/>
      <c r="P456" s="49"/>
      <c r="Q456" s="49"/>
      <c r="R456" s="49"/>
      <c r="S456" s="49"/>
      <c r="T456" s="49"/>
      <c r="U456" s="49"/>
      <c r="V456" s="49"/>
      <c r="W456" s="49"/>
    </row>
    <row r="457" spans="1:47">
      <c r="A457" s="49"/>
      <c r="B457" s="49"/>
      <c r="C457" s="49"/>
      <c r="D457" s="49"/>
      <c r="E457" s="49"/>
      <c r="F457" s="49"/>
      <c r="G457" s="49"/>
      <c r="H457" s="49"/>
      <c r="I457" s="49"/>
      <c r="J457" s="49"/>
      <c r="K457" s="49"/>
      <c r="L457" s="49"/>
      <c r="M457" s="49"/>
      <c r="N457" s="49"/>
      <c r="O457" s="49"/>
      <c r="P457" s="49"/>
      <c r="Q457" s="49"/>
      <c r="R457" s="49"/>
      <c r="S457" s="49"/>
      <c r="T457" s="49"/>
      <c r="U457" s="49"/>
      <c r="V457" s="49"/>
      <c r="W457" s="49"/>
    </row>
    <row r="458" spans="1:47">
      <c r="A458" s="49"/>
      <c r="B458" s="49"/>
      <c r="C458" s="49"/>
      <c r="D458" s="49"/>
      <c r="E458" s="49"/>
      <c r="F458" s="49"/>
      <c r="G458" s="49"/>
      <c r="H458" s="49"/>
      <c r="I458" s="49"/>
      <c r="J458" s="49"/>
      <c r="K458" s="49"/>
      <c r="L458" s="49"/>
      <c r="M458" s="49"/>
      <c r="N458" s="49"/>
      <c r="O458" s="49"/>
      <c r="P458" s="49"/>
      <c r="Q458" s="49"/>
      <c r="R458" s="49"/>
      <c r="S458" s="49"/>
      <c r="T458" s="49"/>
      <c r="U458" s="49"/>
      <c r="V458" s="49"/>
      <c r="W458" s="49"/>
    </row>
    <row r="459" spans="1:47">
      <c r="A459" s="49" t="s">
        <v>589</v>
      </c>
      <c r="B459" s="49"/>
      <c r="C459" s="49"/>
      <c r="D459" s="49"/>
      <c r="E459" s="49"/>
      <c r="F459" s="49"/>
      <c r="G459" s="49"/>
      <c r="H459" s="49"/>
      <c r="I459" s="49"/>
      <c r="J459" s="49"/>
      <c r="K459" s="49"/>
      <c r="L459" s="49" t="s">
        <v>590</v>
      </c>
      <c r="M459" s="49"/>
      <c r="N459" s="49"/>
      <c r="O459" s="49"/>
      <c r="P459" s="49"/>
      <c r="Q459" s="49"/>
      <c r="R459" s="49"/>
      <c r="S459" s="49"/>
      <c r="T459" s="49"/>
      <c r="U459" s="49"/>
      <c r="V459" s="49"/>
      <c r="W459" s="49"/>
    </row>
    <row r="460" spans="1:47">
      <c r="A460" s="49"/>
      <c r="B460" s="49"/>
      <c r="C460" s="49"/>
      <c r="D460" s="49"/>
      <c r="E460" s="49"/>
      <c r="F460" s="49"/>
      <c r="G460" s="49"/>
      <c r="H460" s="49"/>
      <c r="I460" s="49"/>
      <c r="J460" s="49"/>
      <c r="K460" s="49"/>
      <c r="L460" s="49" t="s">
        <v>591</v>
      </c>
      <c r="M460" s="49"/>
      <c r="N460" s="49"/>
      <c r="O460" s="49"/>
      <c r="P460" s="49"/>
      <c r="Q460" s="49"/>
      <c r="R460" s="49"/>
      <c r="S460" s="49"/>
      <c r="T460" s="49"/>
      <c r="U460" s="49"/>
      <c r="V460" s="49"/>
      <c r="W460" s="49"/>
    </row>
    <row r="461" spans="1:47">
      <c r="A461" s="1" t="s">
        <v>448</v>
      </c>
      <c r="B461" s="1" t="s">
        <v>546</v>
      </c>
      <c r="C461" s="1"/>
      <c r="D461" s="1"/>
      <c r="E461" s="1"/>
      <c r="F461" s="1"/>
      <c r="G461" s="1"/>
      <c r="H461" s="1"/>
      <c r="I461" s="1"/>
      <c r="J461" s="1"/>
      <c r="K461" s="1" t="s">
        <v>449</v>
      </c>
      <c r="L461" s="1" t="s">
        <v>547</v>
      </c>
      <c r="M461" s="1"/>
      <c r="N461" s="1"/>
      <c r="O461" s="1"/>
      <c r="P461" s="1"/>
      <c r="Q461" s="1"/>
      <c r="R461" s="1"/>
      <c r="S461" s="1"/>
      <c r="T461" s="1"/>
      <c r="U461" s="49"/>
      <c r="V461" s="49"/>
      <c r="W461" s="49"/>
    </row>
    <row r="462" spans="1:47">
      <c r="A462" s="49"/>
      <c r="B462" s="49"/>
      <c r="C462" s="49"/>
      <c r="D462" s="49"/>
      <c r="E462" s="49"/>
      <c r="F462" s="49"/>
      <c r="G462" s="49"/>
      <c r="H462" s="49"/>
      <c r="I462" s="49"/>
      <c r="J462" s="49"/>
      <c r="K462" s="49"/>
      <c r="L462" s="49"/>
      <c r="M462" s="49"/>
      <c r="N462" s="49"/>
      <c r="O462" s="49"/>
      <c r="P462" s="49"/>
      <c r="Q462" s="49"/>
      <c r="R462" s="49"/>
      <c r="S462" s="49"/>
      <c r="T462" s="49"/>
      <c r="U462" s="49"/>
      <c r="V462" s="49"/>
      <c r="W462" s="49"/>
    </row>
    <row r="463" spans="1:47">
      <c r="A463" s="49"/>
      <c r="B463" s="49"/>
      <c r="C463" s="49"/>
      <c r="D463" s="49"/>
      <c r="E463" s="49"/>
      <c r="F463" s="49"/>
      <c r="G463" s="49"/>
      <c r="H463" s="49"/>
      <c r="I463" s="49"/>
      <c r="J463" s="49"/>
      <c r="K463" s="49"/>
      <c r="L463" s="49"/>
      <c r="M463" s="49"/>
      <c r="N463" s="49"/>
      <c r="O463" s="49"/>
      <c r="P463" s="49"/>
      <c r="Q463" s="49"/>
      <c r="R463" s="49"/>
      <c r="S463" s="49"/>
      <c r="T463" s="49"/>
      <c r="U463" s="49"/>
      <c r="V463" s="49"/>
      <c r="W463" s="49"/>
      <c r="AB463" s="303">
        <f t="shared" ref="AB463" si="704">AC463-1</f>
        <v>35</v>
      </c>
      <c r="AC463" s="303">
        <f t="shared" ref="AC463" si="705">AD463-1</f>
        <v>36</v>
      </c>
      <c r="AD463" s="303">
        <f t="shared" ref="AD463" si="706">AE463-1</f>
        <v>37</v>
      </c>
      <c r="AE463" s="303">
        <f t="shared" ref="AE463" si="707">AF463-1</f>
        <v>38</v>
      </c>
      <c r="AF463" s="303">
        <f t="shared" ref="AF463" si="708">AG463-1</f>
        <v>39</v>
      </c>
      <c r="AG463" s="303">
        <f t="shared" ref="AG463" si="709">AH463-1</f>
        <v>40</v>
      </c>
      <c r="AH463" s="303">
        <f t="shared" ref="AH463" si="710">AI463-1</f>
        <v>41</v>
      </c>
      <c r="AI463" s="303">
        <f t="shared" ref="AI463" si="711">AJ463-1</f>
        <v>42</v>
      </c>
      <c r="AJ463" s="303">
        <f t="shared" ref="AJ463" si="712">AK463-1</f>
        <v>43</v>
      </c>
      <c r="AK463" s="303">
        <f t="shared" ref="AK463" si="713">AL463-1</f>
        <v>44</v>
      </c>
      <c r="AL463" s="303">
        <f t="shared" ref="AL463" si="714">AM463-1</f>
        <v>45</v>
      </c>
      <c r="AM463" s="303">
        <f t="shared" ref="AM463" si="715">AN463-1</f>
        <v>46</v>
      </c>
      <c r="AN463" s="303">
        <f t="shared" ref="AN463" si="716">AO463-1</f>
        <v>47</v>
      </c>
      <c r="AO463" s="303">
        <f t="shared" ref="AO463" si="717">AP463-1</f>
        <v>48</v>
      </c>
      <c r="AP463" s="303">
        <f t="shared" ref="AP463" si="718">AQ463-1</f>
        <v>49</v>
      </c>
      <c r="AQ463" s="303">
        <f t="shared" ref="AQ463" si="719">AR463-1</f>
        <v>50</v>
      </c>
      <c r="AR463" s="303">
        <f t="shared" ref="AR463" si="720">AS463-1</f>
        <v>51</v>
      </c>
      <c r="AS463" s="303">
        <f t="shared" ref="AS463" si="721">AT463-1</f>
        <v>52</v>
      </c>
      <c r="AT463" s="303">
        <f t="shared" ref="AT463" si="722">AU463-1</f>
        <v>53</v>
      </c>
      <c r="AU463" s="303">
        <f>VLOOKUP(AU464,Dates!$A:$D,2,FALSE)</f>
        <v>54</v>
      </c>
    </row>
    <row r="464" spans="1:47">
      <c r="A464" s="49"/>
      <c r="B464" s="49"/>
      <c r="C464" s="49"/>
      <c r="D464" s="49"/>
      <c r="E464" s="49"/>
      <c r="F464" s="49"/>
      <c r="G464" s="49"/>
      <c r="H464" s="49"/>
      <c r="I464" s="49"/>
      <c r="J464" s="49"/>
      <c r="K464" s="49"/>
      <c r="L464" s="49"/>
      <c r="M464" s="49"/>
      <c r="N464" s="49"/>
      <c r="O464" s="49"/>
      <c r="P464" s="49"/>
      <c r="Q464" s="49"/>
      <c r="R464" s="49"/>
      <c r="S464" s="49"/>
      <c r="T464" s="49"/>
      <c r="U464" s="49"/>
      <c r="V464" s="49"/>
      <c r="W464" s="49"/>
      <c r="AB464" s="303" t="str">
        <f>IFERROR(VLOOKUP(AB463,Dates!$B:$D,3,FALSE),"")</f>
        <v>3Q20</v>
      </c>
      <c r="AC464" s="303" t="str">
        <f>IFERROR(VLOOKUP(AC463,Dates!$B:$D,3,FALSE),"")</f>
        <v>4Q20</v>
      </c>
      <c r="AD464" s="303" t="str">
        <f>IFERROR(VLOOKUP(AD463,Dates!$B:$D,3,FALSE),"")</f>
        <v>1Q21</v>
      </c>
      <c r="AE464" s="303" t="str">
        <f>IFERROR(VLOOKUP(AE463,Dates!$B:$D,3,FALSE),"")</f>
        <v>2Q21</v>
      </c>
      <c r="AF464" s="303" t="str">
        <f>IFERROR(VLOOKUP(AF463,Dates!$B:$D,3,FALSE),"")</f>
        <v>3Q21</v>
      </c>
      <c r="AG464" s="303" t="str">
        <f>IFERROR(VLOOKUP(AG463,Dates!$B:$D,3,FALSE),"")</f>
        <v>4Q21</v>
      </c>
      <c r="AH464" s="303" t="str">
        <f>IFERROR(VLOOKUP(AH463,Dates!$B:$D,3,FALSE),"")</f>
        <v>1Q22</v>
      </c>
      <c r="AI464" s="303" t="str">
        <f>IFERROR(VLOOKUP(AI463,Dates!$B:$D,3,FALSE),"")</f>
        <v>2Q22</v>
      </c>
      <c r="AJ464" s="303" t="str">
        <f>IFERROR(VLOOKUP(AJ463,Dates!$B:$D,3,FALSE),"")</f>
        <v>3Q22</v>
      </c>
      <c r="AK464" s="303" t="str">
        <f>IFERROR(VLOOKUP(AK463,Dates!$B:$D,3,FALSE),"")</f>
        <v>4Q22</v>
      </c>
      <c r="AL464" s="303" t="str">
        <f>IFERROR(VLOOKUP(AL463,Dates!$B:$D,3,FALSE),"")</f>
        <v>1Q23</v>
      </c>
      <c r="AM464" s="303" t="str">
        <f>IFERROR(VLOOKUP(AM463,Dates!$B:$D,3,FALSE),"")</f>
        <v>2Q23</v>
      </c>
      <c r="AN464" s="303" t="str">
        <f>IFERROR(VLOOKUP(AN463,Dates!$B:$D,3,FALSE),"")</f>
        <v>3Q23</v>
      </c>
      <c r="AO464" s="303" t="str">
        <f>IFERROR(VLOOKUP(AO463,Dates!$B:$D,3,FALSE),"")</f>
        <v>4Q23</v>
      </c>
      <c r="AP464" s="303" t="str">
        <f>IFERROR(VLOOKUP(AP463,Dates!$B:$D,3,FALSE),"")</f>
        <v>1Q24</v>
      </c>
      <c r="AQ464" s="303" t="str">
        <f>IFERROR(VLOOKUP(AQ463,Dates!$B:$D,3,FALSE),"")</f>
        <v>2Q24</v>
      </c>
      <c r="AR464" s="303" t="str">
        <f>IFERROR(VLOOKUP(AR463,Dates!$B:$D,3,FALSE),"")</f>
        <v>3Q24</v>
      </c>
      <c r="AS464" s="303" t="str">
        <f>IFERROR(VLOOKUP(AS463,Dates!$B:$D,3,FALSE),"")</f>
        <v>4Q24</v>
      </c>
      <c r="AT464" s="303" t="str">
        <f>IFERROR(VLOOKUP(AT463,Dates!$B:$D,3,FALSE),"")</f>
        <v>1Q25</v>
      </c>
      <c r="AU464" s="315" t="str">
        <f>$G$3</f>
        <v>2Q25</v>
      </c>
    </row>
    <row r="465" spans="1:47">
      <c r="A465" s="49"/>
      <c r="B465" s="49"/>
      <c r="C465" s="49"/>
      <c r="D465" s="49"/>
      <c r="E465" s="49"/>
      <c r="F465" s="49"/>
      <c r="G465" s="49"/>
      <c r="H465" s="49"/>
      <c r="I465" s="49"/>
      <c r="J465" s="49"/>
      <c r="K465" s="49"/>
      <c r="L465" s="49"/>
      <c r="M465" s="49"/>
      <c r="N465" s="49"/>
      <c r="O465" s="49"/>
      <c r="P465" s="49"/>
      <c r="Q465" s="49"/>
      <c r="R465" s="49"/>
      <c r="S465" s="49"/>
      <c r="T465" s="49"/>
      <c r="U465" s="49"/>
      <c r="V465" s="49"/>
      <c r="W465" s="49"/>
      <c r="AA465" s="316" t="str">
        <f>'International Financials'!A88</f>
        <v>Revenues.</v>
      </c>
      <c r="AB465" s="317">
        <f>IFERROR(INDEX('International Financials'!$A:$ABB,MATCH($AA465,'International Financials'!$A:$A,0),MATCH(AB464,'International Financials'!$1:$1,0)),"")</f>
        <v>62692.392380003388</v>
      </c>
      <c r="AC465" s="317">
        <f>IFERROR(INDEX('International Financials'!$A:$ABB,MATCH($AA465,'International Financials'!$A:$A,0),MATCH(AC464,'International Financials'!$1:$1,0)),"")</f>
        <v>64888.432813095009</v>
      </c>
      <c r="AD465" s="317">
        <f>IFERROR(INDEX('International Financials'!$A:$ABB,MATCH($AA465,'International Financials'!$A:$A,0),MATCH(AD464,'International Financials'!$1:$1,0)),"")</f>
        <v>64512.787317906987</v>
      </c>
      <c r="AE465" s="317">
        <f>IFERROR(INDEX('International Financials'!$A:$ABB,MATCH($AA465,'International Financials'!$A:$A,0),MATCH(AE464,'International Financials'!$1:$1,0)),"")</f>
        <v>71660.353665636983</v>
      </c>
      <c r="AF465" s="317">
        <f>IFERROR(INDEX('International Financials'!$A:$ABB,MATCH($AA465,'International Financials'!$A:$A,0),MATCH(AF464,'International Financials'!$1:$1,0)),"")</f>
        <v>76441.540934315999</v>
      </c>
      <c r="AG465" s="317">
        <f>IFERROR(INDEX('International Financials'!$A:$ABB,MATCH($AA465,'International Financials'!$A:$A,0),MATCH(AG464,'International Financials'!$1:$1,0)),"")</f>
        <v>76017.490857259982</v>
      </c>
      <c r="AH465" s="317">
        <f>IFERROR(INDEX('International Financials'!$A:$ABB,MATCH($AA465,'International Financials'!$A:$A,0),MATCH(AH464,'International Financials'!$1:$1,0)),"")</f>
        <v>81773.153924568993</v>
      </c>
      <c r="AI465" s="317">
        <f>IFERROR(INDEX('International Financials'!$A:$ABB,MATCH($AA465,'International Financials'!$A:$A,0),MATCH(AI464,'International Financials'!$1:$1,0)),"")</f>
        <v>85915.677568233965</v>
      </c>
      <c r="AJ465" s="317">
        <f>IFERROR(INDEX('International Financials'!$A:$ABB,MATCH($AA465,'International Financials'!$A:$A,0),MATCH(AJ464,'International Financials'!$1:$1,0)),"")</f>
        <v>91053</v>
      </c>
      <c r="AK465" s="317">
        <f>IFERROR(INDEX('International Financials'!$A:$ABB,MATCH($AA465,'International Financials'!$A:$A,0),MATCH(AK464,'International Financials'!$1:$1,0)),"")</f>
        <v>91871.379550050056</v>
      </c>
      <c r="AL465" s="317">
        <f>IFERROR(INDEX('International Financials'!$A:$ABB,MATCH($AA465,'International Financials'!$A:$A,0),MATCH(AL464,'International Financials'!$1:$1,0)),"")</f>
        <v>97020.754476614995</v>
      </c>
      <c r="AM465" s="317">
        <f>IFERROR(INDEX('International Financials'!$A:$ABB,MATCH($AA465,'International Financials'!$A:$A,0),MATCH(AM464,'International Financials'!$1:$1,0)),"")</f>
        <v>104451.814448598</v>
      </c>
      <c r="AN465" s="317">
        <f>IFERROR(INDEX('International Financials'!$A:$ABB,MATCH($AA465,'International Financials'!$A:$A,0),MATCH(AN464,'International Financials'!$1:$1,0)),"")</f>
        <v>110876.80381784689</v>
      </c>
      <c r="AO465" s="317">
        <f>IFERROR(INDEX('International Financials'!$A:$ABB,MATCH($AA465,'International Financials'!$A:$A,0),MATCH(AO464,'International Financials'!$1:$1,0)),"")</f>
        <v>110314.79130590509</v>
      </c>
      <c r="AP465" s="317">
        <f>IFERROR(INDEX('International Financials'!$A:$ABB,MATCH($AA465,'International Financials'!$A:$A,0),MATCH(AP464,'International Financials'!$1:$1,0)),"")</f>
        <v>113168.47988314697</v>
      </c>
      <c r="AQ465" s="317">
        <f>IFERROR(INDEX('International Financials'!$A:$ABB,MATCH($AA465,'International Financials'!$A:$A,0),MATCH(AQ464,'International Financials'!$1:$1,0)),"")</f>
        <v>102767.63975801811</v>
      </c>
      <c r="AR465" s="317">
        <f>IFERROR(INDEX('International Financials'!$A:$ABB,MATCH($AA465,'International Financials'!$A:$A,0),MATCH(AR464,'International Financials'!$1:$1,0)),"")</f>
        <v>102972.35068890199</v>
      </c>
      <c r="AS465" s="317">
        <f>IFERROR(INDEX('International Financials'!$A:$ABB,MATCH($AA465,'International Financials'!$A:$A,0),MATCH(AS464,'International Financials'!$1:$1,0)),"")</f>
        <v>92932.501927844976</v>
      </c>
      <c r="AT465" s="317">
        <f>IFERROR(INDEX('International Financials'!$A:$ABB,MATCH($AA465,'International Financials'!$A:$A,0),MATCH(AT464,'International Financials'!$1:$1,0)),"")</f>
        <v>96369.348685824254</v>
      </c>
      <c r="AU465" s="317">
        <f>IFERROR(INDEX('International Financials'!$A:$ABB,MATCH($AA465,'International Financials'!$A:$A,0),MATCH(AU464,'International Financials'!$1:$1,0)),"")</f>
        <v>101631.1571631609</v>
      </c>
    </row>
    <row r="466" spans="1:47">
      <c r="A466" s="49"/>
      <c r="B466" s="49"/>
      <c r="C466" s="49"/>
      <c r="D466" s="49"/>
      <c r="E466" s="49"/>
      <c r="F466" s="49"/>
      <c r="G466" s="49"/>
      <c r="H466" s="49"/>
      <c r="I466" s="49"/>
      <c r="J466" s="49"/>
      <c r="K466" s="49"/>
      <c r="L466" s="49"/>
      <c r="M466" s="49"/>
      <c r="N466" s="49"/>
      <c r="O466" s="49"/>
      <c r="P466" s="49"/>
      <c r="Q466" s="49"/>
      <c r="R466" s="49"/>
      <c r="S466" s="49"/>
      <c r="T466" s="49"/>
      <c r="U466" s="49"/>
      <c r="V466" s="49"/>
      <c r="W466" s="49"/>
      <c r="AA466" s="316" t="str">
        <f>'International Financials'!A89</f>
        <v>EBITDA.</v>
      </c>
      <c r="AB466" s="317">
        <f>IFERROR(INDEX('International Financials'!$A:$ABB,MATCH($AA466,'International Financials'!$A:$A,0),MATCH(AB464,'International Financials'!$1:$1,0)),"")</f>
        <v>28330.852402844761</v>
      </c>
      <c r="AC466" s="317">
        <f>IFERROR(INDEX('International Financials'!$A:$ABB,MATCH($AA466,'International Financials'!$A:$A,0),MATCH(AC464,'International Financials'!$1:$1,0)),"")</f>
        <v>28640.351451533032</v>
      </c>
      <c r="AD466" s="317">
        <f>IFERROR(INDEX('International Financials'!$A:$ABB,MATCH($AA466,'International Financials'!$A:$A,0),MATCH(AD464,'International Financials'!$1:$1,0)),"")</f>
        <v>28425.237581814989</v>
      </c>
      <c r="AE466" s="317">
        <f>IFERROR(INDEX('International Financials'!$A:$ABB,MATCH($AA466,'International Financials'!$A:$A,0),MATCH(AE464,'International Financials'!$1:$1,0)),"")</f>
        <v>32452.604396361967</v>
      </c>
      <c r="AF466" s="317">
        <f>IFERROR(INDEX('International Financials'!$A:$ABB,MATCH($AA466,'International Financials'!$A:$A,0),MATCH(AF464,'International Financials'!$1:$1,0)),"")</f>
        <v>35852.111383891999</v>
      </c>
      <c r="AG466" s="317">
        <f>IFERROR(INDEX('International Financials'!$A:$ABB,MATCH($AA466,'International Financials'!$A:$A,0),MATCH(AG464,'International Financials'!$1:$1,0)),"")</f>
        <v>36250.037016255985</v>
      </c>
      <c r="AH466" s="317">
        <f>IFERROR(INDEX('International Financials'!$A:$ABB,MATCH($AA466,'International Financials'!$A:$A,0),MATCH(AH464,'International Financials'!$1:$1,0)),"")</f>
        <v>39272.835667117004</v>
      </c>
      <c r="AI466" s="317">
        <f>IFERROR(INDEX('International Financials'!$A:$ABB,MATCH($AA466,'International Financials'!$A:$A,0),MATCH(AI464,'International Financials'!$1:$1,0)),"")</f>
        <v>41743.257718275971</v>
      </c>
      <c r="AJ466" s="317">
        <f>IFERROR(INDEX('International Financials'!$A:$ABB,MATCH($AA466,'International Financials'!$A:$A,0),MATCH(AJ464,'International Financials'!$1:$1,0)),"")</f>
        <v>45189.595548540012</v>
      </c>
      <c r="AK466" s="317">
        <f>IFERROR(INDEX('International Financials'!$A:$ABB,MATCH($AA466,'International Financials'!$A:$A,0),MATCH(AK464,'International Financials'!$1:$1,0)),"")</f>
        <v>45865.058372405023</v>
      </c>
      <c r="AL466" s="317">
        <f>IFERROR(INDEX('International Financials'!$A:$ABB,MATCH($AA466,'International Financials'!$A:$A,0),MATCH(AL464,'International Financials'!$1:$1,0)),"")</f>
        <v>47381.327488894975</v>
      </c>
      <c r="AM466" s="317">
        <f>IFERROR(INDEX('International Financials'!$A:$ABB,MATCH($AA466,'International Financials'!$A:$A,0),MATCH(AM464,'International Financials'!$1:$1,0)),"")</f>
        <v>51251.757737889995</v>
      </c>
      <c r="AN466" s="317">
        <f>IFERROR(INDEX('International Financials'!$A:$ABB,MATCH($AA466,'International Financials'!$A:$A,0),MATCH(AN464,'International Financials'!$1:$1,0)),"")</f>
        <v>54467.657951169866</v>
      </c>
      <c r="AO466" s="317">
        <f>IFERROR(INDEX('International Financials'!$A:$ABB,MATCH($AA466,'International Financials'!$A:$A,0),MATCH(AO464,'International Financials'!$1:$1,0)),"")</f>
        <v>54180.045980566138</v>
      </c>
      <c r="AP466" s="317">
        <f>IFERROR(INDEX('International Financials'!$A:$ABB,MATCH($AA466,'International Financials'!$A:$A,0),MATCH(AP464,'International Financials'!$1:$1,0)),"")</f>
        <v>56030.824992768969</v>
      </c>
      <c r="AQ466" s="317">
        <f>IFERROR(INDEX('International Financials'!$A:$ABB,MATCH($AA466,'International Financials'!$A:$A,0),MATCH(AQ464,'International Financials'!$1:$1,0)),"")</f>
        <v>51157.696750332107</v>
      </c>
      <c r="AR466" s="317">
        <f>IFERROR(INDEX('International Financials'!$A:$ABB,MATCH($AA466,'International Financials'!$A:$A,0),MATCH(AR464,'International Financials'!$1:$1,0)),"")</f>
        <v>50590.337462133022</v>
      </c>
      <c r="AS466" s="317">
        <f>IFERROR(INDEX('International Financials'!$A:$ABB,MATCH($AA466,'International Financials'!$A:$A,0),MATCH(AS464,'International Financials'!$1:$1,0)),"")</f>
        <v>43236.906250850938</v>
      </c>
      <c r="AT466" s="317">
        <f>IFERROR(INDEX('International Financials'!$A:$ABB,MATCH($AA466,'International Financials'!$A:$A,0),MATCH(AT464,'International Financials'!$1:$1,0)),"")</f>
        <v>43616.529097564257</v>
      </c>
      <c r="AU466" s="317">
        <f>IFERROR(INDEX('International Financials'!$A:$ABB,MATCH($AA466,'International Financials'!$A:$A,0),MATCH(AU464,'International Financials'!$1:$1,0)),"")</f>
        <v>47258.500766475518</v>
      </c>
    </row>
    <row r="467" spans="1:47">
      <c r="A467" s="49"/>
      <c r="B467" s="49"/>
      <c r="C467" s="49"/>
      <c r="D467" s="49"/>
      <c r="E467" s="49"/>
      <c r="F467" s="49"/>
      <c r="G467" s="49"/>
      <c r="H467" s="49"/>
      <c r="I467" s="49"/>
      <c r="J467" s="49"/>
      <c r="K467" s="49"/>
      <c r="L467" s="49"/>
      <c r="M467" s="49"/>
      <c r="N467" s="49"/>
      <c r="O467" s="49"/>
      <c r="P467" s="49"/>
      <c r="Q467" s="49"/>
      <c r="R467" s="49"/>
      <c r="S467" s="49"/>
      <c r="T467" s="49"/>
      <c r="U467" s="49"/>
      <c r="V467" s="49"/>
      <c r="W467" s="49"/>
      <c r="AA467" s="316" t="str">
        <f>'International Financials'!A90</f>
        <v>EBIT.</v>
      </c>
      <c r="AB467" s="317">
        <f>IFERROR(INDEX('International Financials'!$A:$ABB,MATCH($AA467,'International Financials'!$A:$A,0),MATCH(AB464,'International Financials'!$1:$1,0)),"")</f>
        <v>17397.68580397054</v>
      </c>
      <c r="AC467" s="317">
        <f>IFERROR(INDEX('International Financials'!$A:$ABB,MATCH($AA467,'International Financials'!$A:$A,0),MATCH(AC464,'International Financials'!$1:$1,0)),"")</f>
        <v>17627.00488302204</v>
      </c>
      <c r="AD467" s="317">
        <f>IFERROR(INDEX('International Financials'!$A:$ABB,MATCH($AA467,'International Financials'!$A:$A,0),MATCH(AD464,'International Financials'!$1:$1,0)),"")</f>
        <v>15932.768747483991</v>
      </c>
      <c r="AE467" s="317">
        <f>IFERROR(INDEX('International Financials'!$A:$ABB,MATCH($AA467,'International Financials'!$A:$A,0),MATCH(AE464,'International Financials'!$1:$1,0)),"")</f>
        <v>19952.228861035968</v>
      </c>
      <c r="AF467" s="317">
        <f>IFERROR(INDEX('International Financials'!$A:$ABB,MATCH($AA467,'International Financials'!$A:$A,0),MATCH(AF464,'International Financials'!$1:$1,0)),"")</f>
        <v>22745.400508046998</v>
      </c>
      <c r="AG467" s="317">
        <f>IFERROR(INDEX('International Financials'!$A:$ABB,MATCH($AA467,'International Financials'!$A:$A,0),MATCH(AG464,'International Financials'!$1:$1,0)),"")</f>
        <v>23327.078985778993</v>
      </c>
      <c r="AH467" s="317">
        <f>IFERROR(INDEX('International Financials'!$A:$ABB,MATCH($AA467,'International Financials'!$A:$A,0),MATCH(AH464,'International Financials'!$1:$1,0)),"")</f>
        <v>25925.928155144004</v>
      </c>
      <c r="AI467" s="317">
        <f>IFERROR(INDEX('International Financials'!$A:$ABB,MATCH($AA467,'International Financials'!$A:$A,0),MATCH(AI464,'International Financials'!$1:$1,0)),"")</f>
        <v>28057.272809669965</v>
      </c>
      <c r="AJ467" s="317">
        <f>IFERROR(INDEX('International Financials'!$A:$ABB,MATCH($AA467,'International Financials'!$A:$A,0),MATCH(AJ464,'International Financials'!$1:$1,0)),"")</f>
        <v>30938.775270948012</v>
      </c>
      <c r="AK467" s="317">
        <f>IFERROR(INDEX('International Financials'!$A:$ABB,MATCH($AA467,'International Financials'!$A:$A,0),MATCH(AK464,'International Financials'!$1:$1,0)),"")</f>
        <v>31663.551339893016</v>
      </c>
      <c r="AL467" s="317">
        <f>IFERROR(INDEX('International Financials'!$A:$ABB,MATCH($AA467,'International Financials'!$A:$A,0),MATCH(AL464,'International Financials'!$1:$1,0)),"")</f>
        <v>32807.270869895976</v>
      </c>
      <c r="AM467" s="317">
        <f>IFERROR(INDEX('International Financials'!$A:$ABB,MATCH($AA467,'International Financials'!$A:$A,0),MATCH(AM464,'International Financials'!$1:$1,0)),"")</f>
        <v>35669.158741014995</v>
      </c>
      <c r="AN467" s="317">
        <f>IFERROR(INDEX('International Financials'!$A:$ABB,MATCH($AA467,'International Financials'!$A:$A,0),MATCH(AN464,'International Financials'!$1:$1,0)),"")</f>
        <v>36674.038935295859</v>
      </c>
      <c r="AO467" s="317">
        <f>IFERROR(INDEX('International Financials'!$A:$ABB,MATCH($AA467,'International Financials'!$A:$A,0),MATCH(AO464,'International Financials'!$1:$1,0)),"")</f>
        <v>36104.48450088915</v>
      </c>
      <c r="AP467" s="317">
        <f>IFERROR(INDEX('International Financials'!$A:$ABB,MATCH($AA467,'International Financials'!$A:$A,0),MATCH(AP464,'International Financials'!$1:$1,0)),"")</f>
        <v>37916.951422136968</v>
      </c>
      <c r="AQ467" s="317">
        <f>IFERROR(INDEX('International Financials'!$A:$ABB,MATCH($AA467,'International Financials'!$A:$A,0),MATCH(AQ464,'International Financials'!$1:$1,0)),"")</f>
        <v>34898.181808970105</v>
      </c>
      <c r="AR467" s="317">
        <f>IFERROR(INDEX('International Financials'!$A:$ABB,MATCH($AA467,'International Financials'!$A:$A,0),MATCH(AR464,'International Financials'!$1:$1,0)),"")</f>
        <v>34000.886304886022</v>
      </c>
      <c r="AS467" s="317">
        <f>IFERROR(INDEX('International Financials'!$A:$ABB,MATCH($AA467,'International Financials'!$A:$A,0),MATCH(AS464,'International Financials'!$1:$1,0)),"")</f>
        <v>28810.893333455933</v>
      </c>
      <c r="AT467" s="317">
        <f>IFERROR(INDEX('International Financials'!$A:$ABB,MATCH($AA467,'International Financials'!$A:$A,0),MATCH(AT464,'International Financials'!$1:$1,0)),"")</f>
        <v>27932.863057466711</v>
      </c>
      <c r="AU467" s="317">
        <f>IFERROR(INDEX('International Financials'!$A:$ABB,MATCH($AA467,'International Financials'!$A:$A,0),MATCH(AU464,'International Financials'!$1:$1,0)),"")</f>
        <v>31017.956108219274</v>
      </c>
    </row>
    <row r="468" spans="1:47">
      <c r="A468" s="49"/>
      <c r="B468" s="49"/>
      <c r="C468" s="49"/>
      <c r="D468" s="49"/>
      <c r="E468" s="49"/>
      <c r="F468" s="49"/>
      <c r="G468" s="49"/>
      <c r="H468" s="49"/>
      <c r="I468" s="49"/>
      <c r="J468" s="49"/>
      <c r="K468" s="49"/>
      <c r="L468" s="49"/>
      <c r="M468" s="49"/>
      <c r="N468" s="49"/>
      <c r="O468" s="49"/>
      <c r="P468" s="49"/>
      <c r="Q468" s="49"/>
      <c r="R468" s="49"/>
      <c r="S468" s="49"/>
      <c r="T468" s="49"/>
      <c r="U468" s="49"/>
      <c r="V468" s="49"/>
      <c r="W468" s="49"/>
      <c r="AA468" s="316" t="str">
        <f>'International Financials'!A91</f>
        <v>Pre-Tax.</v>
      </c>
      <c r="AB468" s="317">
        <f>IFERROR(INDEX('International Financials'!$A:$ABB,MATCH($AA468,'International Financials'!$A:$A,0),MATCH(AB464,'International Financials'!$1:$1,0)),"")</f>
        <v>11829.187863265332</v>
      </c>
      <c r="AC468" s="317">
        <f>IFERROR(INDEX('International Financials'!$A:$ABB,MATCH($AA468,'International Financials'!$A:$A,0),MATCH(AC464,'International Financials'!$1:$1,0)),"")</f>
        <v>6921.5072146920393</v>
      </c>
      <c r="AD468" s="317">
        <f>IFERROR(INDEX('International Financials'!$A:$ABB,MATCH($AA468,'International Financials'!$A:$A,0),MATCH(AD464,'International Financials'!$1:$1,0)),"")</f>
        <v>8386.0428078699915</v>
      </c>
      <c r="AE468" s="317">
        <f>IFERROR(INDEX('International Financials'!$A:$ABB,MATCH($AA468,'International Financials'!$A:$A,0),MATCH(AE464,'International Financials'!$1:$1,0)),"")</f>
        <v>13018.606606826968</v>
      </c>
      <c r="AF468" s="317">
        <f>IFERROR(INDEX('International Financials'!$A:$ABB,MATCH($AA468,'International Financials'!$A:$A,0),MATCH(AF464,'International Financials'!$1:$1,0)),"")</f>
        <v>13222.224953258998</v>
      </c>
      <c r="AG468" s="317">
        <f>IFERROR(INDEX('International Financials'!$A:$ABB,MATCH($AA468,'International Financials'!$A:$A,0),MATCH(AG464,'International Financials'!$1:$1,0)),"")</f>
        <v>15662.350967222992</v>
      </c>
      <c r="AH468" s="317">
        <f>IFERROR(INDEX('International Financials'!$A:$ABB,MATCH($AA468,'International Financials'!$A:$A,0),MATCH(AH464,'International Financials'!$1:$1,0)),"")</f>
        <v>18682.546486510004</v>
      </c>
      <c r="AI468" s="317">
        <f>IFERROR(INDEX('International Financials'!$A:$ABB,MATCH($AA468,'International Financials'!$A:$A,0),MATCH(AI464,'International Financials'!$1:$1,0)),"")</f>
        <v>22706.510644103968</v>
      </c>
      <c r="AJ468" s="317">
        <f>IFERROR(INDEX('International Financials'!$A:$ABB,MATCH($AA468,'International Financials'!$A:$A,0),MATCH(AJ464,'International Financials'!$1:$1,0)),"")</f>
        <v>21724.109257386008</v>
      </c>
      <c r="AK468" s="317">
        <f>IFERROR(INDEX('International Financials'!$A:$ABB,MATCH($AA468,'International Financials'!$A:$A,0),MATCH(AK464,'International Financials'!$1:$1,0)),"")</f>
        <v>23175.390735781017</v>
      </c>
      <c r="AL468" s="317">
        <f>IFERROR(INDEX('International Financials'!$A:$ABB,MATCH($AA468,'International Financials'!$A:$A,0),MATCH(AL464,'International Financials'!$1:$1,0)),"")</f>
        <v>21208.855069253987</v>
      </c>
      <c r="AM468" s="317">
        <f>IFERROR(INDEX('International Financials'!$A:$ABB,MATCH($AA468,'International Financials'!$A:$A,0),MATCH(AM464,'International Financials'!$1:$1,0)),"")</f>
        <v>18864.608449846986</v>
      </c>
      <c r="AN468" s="317">
        <f>IFERROR(INDEX('International Financials'!$A:$ABB,MATCH($AA468,'International Financials'!$A:$A,0),MATCH(AN464,'International Financials'!$1:$1,0)),"")</f>
        <v>23370.301025781853</v>
      </c>
      <c r="AO468" s="317">
        <f>IFERROR(INDEX('International Financials'!$A:$ABB,MATCH($AA468,'International Financials'!$A:$A,0),MATCH(AO464,'International Financials'!$1:$1,0)),"")</f>
        <v>19125.719918827155</v>
      </c>
      <c r="AP468" s="317">
        <f>IFERROR(INDEX('International Financials'!$A:$ABB,MATCH($AA468,'International Financials'!$A:$A,0),MATCH(AP464,'International Financials'!$1:$1,0)),"")</f>
        <v>20530.322154781974</v>
      </c>
      <c r="AQ468" s="317">
        <f>IFERROR(INDEX('International Financials'!$A:$ABB,MATCH($AA468,'International Financials'!$A:$A,0),MATCH(AQ464,'International Financials'!$1:$1,0)),"")</f>
        <v>19130.515209532088</v>
      </c>
      <c r="AR468" s="317">
        <f>IFERROR(INDEX('International Financials'!$A:$ABB,MATCH($AA468,'International Financials'!$A:$A,0),MATCH(AR464,'International Financials'!$1:$1,0)),"")</f>
        <v>4568.745106986029</v>
      </c>
      <c r="AS468" s="317">
        <f>IFERROR(INDEX('International Financials'!$A:$ABB,MATCH($AA468,'International Financials'!$A:$A,0),MATCH(AS464,'International Financials'!$1:$1,0)),"")</f>
        <v>16967.173169438905</v>
      </c>
      <c r="AT468" s="317">
        <f>IFERROR(INDEX('International Financials'!$A:$ABB,MATCH($AA468,'International Financials'!$A:$A,0),MATCH(AT464,'International Financials'!$1:$1,0)),"")</f>
        <v>16293.722708280256</v>
      </c>
      <c r="AU468" s="317">
        <f>IFERROR(INDEX('International Financials'!$A:$ABB,MATCH($AA468,'International Financials'!$A:$A,0),MATCH(AU464,'International Financials'!$1:$1,0)),"")</f>
        <v>17871.099553270149</v>
      </c>
    </row>
    <row r="469" spans="1:47">
      <c r="A469" s="49"/>
      <c r="B469" s="49"/>
      <c r="C469" s="49"/>
      <c r="D469" s="49"/>
      <c r="E469" s="49"/>
      <c r="F469" s="49"/>
      <c r="G469" s="49"/>
      <c r="H469" s="49"/>
      <c r="I469" s="49"/>
      <c r="J469" s="49"/>
      <c r="K469" s="49"/>
      <c r="L469" s="49"/>
      <c r="M469" s="49"/>
      <c r="N469" s="49"/>
      <c r="O469" s="49"/>
      <c r="P469" s="49"/>
      <c r="Q469" s="49"/>
      <c r="R469" s="49"/>
      <c r="S469" s="49"/>
      <c r="T469" s="49"/>
      <c r="U469" s="49"/>
      <c r="V469" s="49"/>
      <c r="W469" s="49"/>
      <c r="AA469" s="316" t="str">
        <f>'International Financials'!A92</f>
        <v>Net profit.</v>
      </c>
      <c r="AB469" s="317">
        <f>IFERROR(INDEX('International Financials'!$A:$ABB,MATCH($AA469,'International Financials'!$A:$A,0),MATCH(AB464,'International Financials'!$1:$1,0)),"")</f>
        <v>2462.5364080469953</v>
      </c>
      <c r="AC469" s="317">
        <f>IFERROR(INDEX('International Financials'!$A:$ABB,MATCH($AA469,'International Financials'!$A:$A,0),MATCH(AC464,'International Financials'!$1:$1,0)),"")</f>
        <v>2707</v>
      </c>
      <c r="AD469" s="317">
        <f>IFERROR(INDEX('International Financials'!$A:$ABB,MATCH($AA469,'International Financials'!$A:$A,0),MATCH(AD464,'International Financials'!$1:$1,0)),"")</f>
        <v>2175.7640767192502</v>
      </c>
      <c r="AE469" s="317">
        <f>IFERROR(INDEX('International Financials'!$A:$ABB,MATCH($AA469,'International Financials'!$A:$A,0),MATCH(AE464,'International Financials'!$1:$1,0)),"")</f>
        <v>3659.3843296127502</v>
      </c>
      <c r="AF469" s="317">
        <f>IFERROR(INDEX('International Financials'!$A:$ABB,MATCH($AA469,'International Financials'!$A:$A,0),MATCH(AF464,'International Financials'!$1:$1,0)),"")</f>
        <v>3016.769455338997</v>
      </c>
      <c r="AG469" s="317">
        <f>IFERROR(INDEX('International Financials'!$A:$ABB,MATCH($AA469,'International Financials'!$A:$A,0),MATCH(AG464,'International Financials'!$1:$1,0)),"")</f>
        <v>4919.2500143419893</v>
      </c>
      <c r="AH469" s="317">
        <f>IFERROR(INDEX('International Financials'!$A:$ABB,MATCH($AA469,'International Financials'!$A:$A,0),MATCH(AH464,'International Financials'!$1:$1,0)),"")</f>
        <v>4960.5965010890031</v>
      </c>
      <c r="AI469" s="317">
        <f>IFERROR(INDEX('International Financials'!$A:$ABB,MATCH($AA469,'International Financials'!$A:$A,0),MATCH(AI464,'International Financials'!$1:$1,0)),"")</f>
        <v>6577.9524669209695</v>
      </c>
      <c r="AJ469" s="317">
        <f>IFERROR(INDEX('International Financials'!$A:$ABB,MATCH($AA469,'International Financials'!$A:$A,0),MATCH(AJ464,'International Financials'!$1:$1,0)),"")</f>
        <v>6227.0722558230082</v>
      </c>
      <c r="AK469" s="317">
        <f>IFERROR(INDEX('International Financials'!$A:$ABB,MATCH($AA469,'International Financials'!$A:$A,0),MATCH(AK464,'International Financials'!$1:$1,0)),"")</f>
        <v>7169.1641924170144</v>
      </c>
      <c r="AL469" s="317">
        <f>IFERROR(INDEX('International Financials'!$A:$ABB,MATCH($AA469,'International Financials'!$A:$A,0),MATCH(AL464,'International Financials'!$1:$1,0)),"")</f>
        <v>6120.409974289988</v>
      </c>
      <c r="AM469" s="317">
        <f>IFERROR(INDEX('International Financials'!$A:$ABB,MATCH($AA469,'International Financials'!$A:$A,0),MATCH(AM464,'International Financials'!$1:$1,0)),"")</f>
        <v>4825</v>
      </c>
      <c r="AN469" s="317">
        <f>IFERROR(INDEX('International Financials'!$A:$ABB,MATCH($AA469,'International Financials'!$A:$A,0),MATCH(AN464,'International Financials'!$1:$1,0)),"")</f>
        <v>6924.0673167358491</v>
      </c>
      <c r="AO469" s="317">
        <f>IFERROR(INDEX('International Financials'!$A:$ABB,MATCH($AA469,'International Financials'!$A:$A,0),MATCH(AO464,'International Financials'!$1:$1,0)),"")</f>
        <v>4854</v>
      </c>
      <c r="AP469" s="317">
        <f>IFERROR(INDEX('International Financials'!$A:$ABB,MATCH($AA469,'International Financials'!$A:$A,0),MATCH(AP464,'International Financials'!$1:$1,0)),"")</f>
        <v>6742.4845738209715</v>
      </c>
      <c r="AQ469" s="317">
        <f>IFERROR(INDEX('International Financials'!$A:$ABB,MATCH($AA469,'International Financials'!$A:$A,0),MATCH(AQ464,'International Financials'!$1:$1,0)),"")</f>
        <v>5328.8170911420912</v>
      </c>
      <c r="AR469" s="317">
        <f>IFERROR(INDEX('International Financials'!$A:$ABB,MATCH($AA469,'International Financials'!$A:$A,0),MATCH(AR464,'International Financials'!$1:$1,0)),"")</f>
        <v>75.964334203021281</v>
      </c>
      <c r="AS469" s="317">
        <f>IFERROR(INDEX('International Financials'!$A:$ABB,MATCH($AA469,'International Financials'!$A:$A,0),MATCH(AS464,'International Financials'!$1:$1,0)),"")</f>
        <v>5320.1080055579132</v>
      </c>
      <c r="AT469" s="317">
        <f>IFERROR(INDEX('International Financials'!$A:$ABB,MATCH($AA469,'International Financials'!$A:$A,0),MATCH(AT464,'International Financials'!$1:$1,0)),"")</f>
        <v>4016.874354787411</v>
      </c>
      <c r="AU469" s="317">
        <f>IFERROR(INDEX('International Financials'!$A:$ABB,MATCH($AA469,'International Financials'!$A:$A,0),MATCH(AU464,'International Financials'!$1:$1,0)),"")</f>
        <v>4553.5305191217758</v>
      </c>
    </row>
    <row r="470" spans="1:47">
      <c r="A470" s="49"/>
      <c r="B470" s="49"/>
      <c r="C470" s="49"/>
      <c r="D470" s="49"/>
      <c r="E470" s="49"/>
      <c r="F470" s="49"/>
      <c r="G470" s="49"/>
      <c r="H470" s="49"/>
      <c r="I470" s="49"/>
      <c r="J470" s="49"/>
      <c r="K470" s="49"/>
      <c r="L470" s="49"/>
      <c r="M470" s="49"/>
      <c r="N470" s="49"/>
      <c r="O470" s="49"/>
      <c r="P470" s="49"/>
      <c r="Q470" s="49"/>
      <c r="R470" s="49"/>
      <c r="S470" s="49"/>
      <c r="T470" s="49"/>
      <c r="U470" s="49"/>
      <c r="V470" s="49"/>
      <c r="W470" s="49"/>
    </row>
    <row r="471" spans="1:47">
      <c r="A471" s="49"/>
      <c r="B471" s="49"/>
      <c r="C471" s="49"/>
      <c r="D471" s="49"/>
      <c r="E471" s="49"/>
      <c r="F471" s="49"/>
      <c r="G471" s="49"/>
      <c r="H471" s="49"/>
      <c r="I471" s="49"/>
      <c r="J471" s="49"/>
      <c r="K471" s="49"/>
      <c r="L471" s="49"/>
      <c r="M471" s="49"/>
      <c r="N471" s="49"/>
      <c r="O471" s="49"/>
      <c r="P471" s="49"/>
      <c r="Q471" s="49"/>
      <c r="R471" s="49"/>
      <c r="S471" s="49"/>
      <c r="T471" s="49"/>
      <c r="U471" s="49"/>
      <c r="V471" s="49"/>
      <c r="W471" s="49"/>
    </row>
    <row r="472" spans="1:47">
      <c r="A472" s="49"/>
      <c r="B472" s="49"/>
      <c r="C472" s="49"/>
      <c r="D472" s="49"/>
      <c r="E472" s="49"/>
      <c r="F472" s="49"/>
      <c r="G472" s="49"/>
      <c r="H472" s="49"/>
      <c r="I472" s="49"/>
      <c r="J472" s="49"/>
      <c r="K472" s="49"/>
      <c r="L472" s="49"/>
      <c r="M472" s="49"/>
      <c r="N472" s="49"/>
      <c r="O472" s="49"/>
      <c r="P472" s="49"/>
      <c r="Q472" s="49"/>
      <c r="R472" s="49"/>
      <c r="S472" s="49"/>
      <c r="T472" s="49"/>
      <c r="U472" s="49"/>
      <c r="V472" s="49"/>
      <c r="W472" s="49"/>
      <c r="AB472" s="303">
        <f t="shared" ref="AB472" si="723">AC472-1</f>
        <v>35</v>
      </c>
      <c r="AC472" s="303">
        <f t="shared" ref="AC472" si="724">AD472-1</f>
        <v>36</v>
      </c>
      <c r="AD472" s="303">
        <f t="shared" ref="AD472" si="725">AE472-1</f>
        <v>37</v>
      </c>
      <c r="AE472" s="303">
        <f t="shared" ref="AE472" si="726">AF472-1</f>
        <v>38</v>
      </c>
      <c r="AF472" s="303">
        <f t="shared" ref="AF472" si="727">AG472-1</f>
        <v>39</v>
      </c>
      <c r="AG472" s="303">
        <f t="shared" ref="AG472" si="728">AH472-1</f>
        <v>40</v>
      </c>
      <c r="AH472" s="303">
        <f t="shared" ref="AH472" si="729">AI472-1</f>
        <v>41</v>
      </c>
      <c r="AI472" s="303">
        <f t="shared" ref="AI472" si="730">AJ472-1</f>
        <v>42</v>
      </c>
      <c r="AJ472" s="303">
        <f t="shared" ref="AJ472" si="731">AK472-1</f>
        <v>43</v>
      </c>
      <c r="AK472" s="303">
        <f t="shared" ref="AK472" si="732">AL472-1</f>
        <v>44</v>
      </c>
      <c r="AL472" s="303">
        <f t="shared" ref="AL472" si="733">AM472-1</f>
        <v>45</v>
      </c>
      <c r="AM472" s="303">
        <f t="shared" ref="AM472" si="734">AN472-1</f>
        <v>46</v>
      </c>
      <c r="AN472" s="303">
        <f t="shared" ref="AN472" si="735">AO472-1</f>
        <v>47</v>
      </c>
      <c r="AO472" s="303">
        <f t="shared" ref="AO472" si="736">AP472-1</f>
        <v>48</v>
      </c>
      <c r="AP472" s="303">
        <f t="shared" ref="AP472" si="737">AQ472-1</f>
        <v>49</v>
      </c>
      <c r="AQ472" s="303">
        <f t="shared" ref="AQ472" si="738">AR472-1</f>
        <v>50</v>
      </c>
      <c r="AR472" s="303">
        <f t="shared" ref="AR472" si="739">AS472-1</f>
        <v>51</v>
      </c>
      <c r="AS472" s="303">
        <f t="shared" ref="AS472" si="740">AT472-1</f>
        <v>52</v>
      </c>
      <c r="AT472" s="303">
        <f t="shared" ref="AT472" si="741">AU472-1</f>
        <v>53</v>
      </c>
      <c r="AU472" s="303">
        <f>VLOOKUP(AU473,Dates!$A:$D,2,FALSE)</f>
        <v>54</v>
      </c>
    </row>
    <row r="473" spans="1:47">
      <c r="A473" s="49"/>
      <c r="B473" s="49"/>
      <c r="C473" s="49"/>
      <c r="D473" s="49"/>
      <c r="E473" s="49"/>
      <c r="F473" s="49"/>
      <c r="G473" s="49"/>
      <c r="H473" s="49"/>
      <c r="I473" s="49"/>
      <c r="J473" s="49"/>
      <c r="K473" s="49"/>
      <c r="L473" s="49"/>
      <c r="M473" s="49"/>
      <c r="N473" s="49"/>
      <c r="O473" s="49"/>
      <c r="P473" s="49"/>
      <c r="Q473" s="49"/>
      <c r="R473" s="49"/>
      <c r="S473" s="49"/>
      <c r="T473" s="49"/>
      <c r="U473" s="49"/>
      <c r="V473" s="49"/>
      <c r="W473" s="49"/>
      <c r="AB473" s="303" t="str">
        <f>IFERROR(VLOOKUP(AB472,Dates!$B:$D,3,FALSE),"")</f>
        <v>3Q20</v>
      </c>
      <c r="AC473" s="303" t="str">
        <f>IFERROR(VLOOKUP(AC472,Dates!$B:$D,3,FALSE),"")</f>
        <v>4Q20</v>
      </c>
      <c r="AD473" s="303" t="str">
        <f>IFERROR(VLOOKUP(AD472,Dates!$B:$D,3,FALSE),"")</f>
        <v>1Q21</v>
      </c>
      <c r="AE473" s="303" t="str">
        <f>IFERROR(VLOOKUP(AE472,Dates!$B:$D,3,FALSE),"")</f>
        <v>2Q21</v>
      </c>
      <c r="AF473" s="303" t="str">
        <f>IFERROR(VLOOKUP(AF472,Dates!$B:$D,3,FALSE),"")</f>
        <v>3Q21</v>
      </c>
      <c r="AG473" s="303" t="str">
        <f>IFERROR(VLOOKUP(AG472,Dates!$B:$D,3,FALSE),"")</f>
        <v>4Q21</v>
      </c>
      <c r="AH473" s="303" t="str">
        <f>IFERROR(VLOOKUP(AH472,Dates!$B:$D,3,FALSE),"")</f>
        <v>1Q22</v>
      </c>
      <c r="AI473" s="303" t="str">
        <f>IFERROR(VLOOKUP(AI472,Dates!$B:$D,3,FALSE),"")</f>
        <v>2Q22</v>
      </c>
      <c r="AJ473" s="303" t="str">
        <f>IFERROR(VLOOKUP(AJ472,Dates!$B:$D,3,FALSE),"")</f>
        <v>3Q22</v>
      </c>
      <c r="AK473" s="303" t="str">
        <f>IFERROR(VLOOKUP(AK472,Dates!$B:$D,3,FALSE),"")</f>
        <v>4Q22</v>
      </c>
      <c r="AL473" s="303" t="str">
        <f>IFERROR(VLOOKUP(AL472,Dates!$B:$D,3,FALSE),"")</f>
        <v>1Q23</v>
      </c>
      <c r="AM473" s="303" t="str">
        <f>IFERROR(VLOOKUP(AM472,Dates!$B:$D,3,FALSE),"")</f>
        <v>2Q23</v>
      </c>
      <c r="AN473" s="303" t="str">
        <f>IFERROR(VLOOKUP(AN472,Dates!$B:$D,3,FALSE),"")</f>
        <v>3Q23</v>
      </c>
      <c r="AO473" s="303" t="str">
        <f>IFERROR(VLOOKUP(AO472,Dates!$B:$D,3,FALSE),"")</f>
        <v>4Q23</v>
      </c>
      <c r="AP473" s="303" t="str">
        <f>IFERROR(VLOOKUP(AP472,Dates!$B:$D,3,FALSE),"")</f>
        <v>1Q24</v>
      </c>
      <c r="AQ473" s="303" t="str">
        <f>IFERROR(VLOOKUP(AQ472,Dates!$B:$D,3,FALSE),"")</f>
        <v>2Q24</v>
      </c>
      <c r="AR473" s="303" t="str">
        <f>IFERROR(VLOOKUP(AR472,Dates!$B:$D,3,FALSE),"")</f>
        <v>3Q24</v>
      </c>
      <c r="AS473" s="303" t="str">
        <f>IFERROR(VLOOKUP(AS472,Dates!$B:$D,3,FALSE),"")</f>
        <v>4Q24</v>
      </c>
      <c r="AT473" s="303" t="str">
        <f>IFERROR(VLOOKUP(AT472,Dates!$B:$D,3,FALSE),"")</f>
        <v>1Q25</v>
      </c>
      <c r="AU473" s="315" t="str">
        <f>$G$3</f>
        <v>2Q25</v>
      </c>
    </row>
    <row r="474" spans="1:47">
      <c r="A474" s="49"/>
      <c r="B474" s="49"/>
      <c r="C474" s="49"/>
      <c r="D474" s="49"/>
      <c r="E474" s="49"/>
      <c r="F474" s="49"/>
      <c r="G474" s="49"/>
      <c r="H474" s="49"/>
      <c r="I474" s="49"/>
      <c r="J474" s="49"/>
      <c r="K474" s="49"/>
      <c r="L474" s="49"/>
      <c r="M474" s="49"/>
      <c r="N474" s="49"/>
      <c r="O474" s="49"/>
      <c r="P474" s="49"/>
      <c r="Q474" s="49"/>
      <c r="R474" s="49"/>
      <c r="S474" s="49"/>
      <c r="T474" s="49"/>
      <c r="U474" s="49"/>
      <c r="V474" s="49"/>
      <c r="W474" s="49"/>
      <c r="AA474" s="316" t="str">
        <f>'International Financials'!A80</f>
        <v>African depreciation</v>
      </c>
      <c r="AB474" s="317">
        <f>IFERROR(INDEX('International Financials'!$A:$ABB,MATCH($AA474,'International Financials'!$A:$A,0),MATCH(AB473,'International Financials'!$1:$1,0)),"")</f>
        <v>10933.166598874221</v>
      </c>
      <c r="AC474" s="317">
        <f>IFERROR(INDEX('International Financials'!$A:$ABB,MATCH($AA474,'International Financials'!$A:$A,0),MATCH(AC473,'International Financials'!$1:$1,0)),"")</f>
        <v>11013.346568510991</v>
      </c>
      <c r="AD474" s="317">
        <f>IFERROR(INDEX('International Financials'!$A:$ABB,MATCH($AA474,'International Financials'!$A:$A,0),MATCH(AD473,'International Financials'!$1:$1,0)),"")</f>
        <v>12492.468834330997</v>
      </c>
      <c r="AE474" s="317">
        <f>IFERROR(INDEX('International Financials'!$A:$ABB,MATCH($AA474,'International Financials'!$A:$A,0),MATCH(AE473,'International Financials'!$1:$1,0)),"")</f>
        <v>12500.375535325998</v>
      </c>
      <c r="AF474" s="317">
        <f>IFERROR(INDEX('International Financials'!$A:$ABB,MATCH($AA474,'International Financials'!$A:$A,0),MATCH(AF473,'International Financials'!$1:$1,0)),"")</f>
        <v>13106.710875845001</v>
      </c>
      <c r="AG474" s="317">
        <f>IFERROR(INDEX('International Financials'!$A:$ABB,MATCH($AA474,'International Financials'!$A:$A,0),MATCH(AG473,'International Financials'!$1:$1,0)),"")</f>
        <v>12922.958030476992</v>
      </c>
      <c r="AH474" s="317">
        <f>IFERROR(INDEX('International Financials'!$A:$ABB,MATCH($AA474,'International Financials'!$A:$A,0),MATCH(AH473,'International Financials'!$1:$1,0)),"")</f>
        <v>13346.907511973001</v>
      </c>
      <c r="AI474" s="317">
        <f>IFERROR(INDEX('International Financials'!$A:$ABB,MATCH($AA474,'International Financials'!$A:$A,0),MATCH(AI473,'International Financials'!$1:$1,0)),"")</f>
        <v>13685.984908606006</v>
      </c>
      <c r="AJ474" s="317">
        <f>IFERROR(INDEX('International Financials'!$A:$ABB,MATCH($AA474,'International Financials'!$A:$A,0),MATCH(AJ473,'International Financials'!$1:$1,0)),"")</f>
        <v>14250.820277592</v>
      </c>
      <c r="AK474" s="317">
        <f>IFERROR(INDEX('International Financials'!$A:$ABB,MATCH($AA474,'International Financials'!$A:$A,0),MATCH(AK473,'International Financials'!$1:$1,0)),"")</f>
        <v>14201.507032512007</v>
      </c>
      <c r="AL474" s="317">
        <f>IFERROR(INDEX('International Financials'!$A:$ABB,MATCH($AA474,'International Financials'!$A:$A,0),MATCH(AL473,'International Financials'!$1:$1,0)),"")</f>
        <v>14574.056618998999</v>
      </c>
      <c r="AM474" s="317">
        <f>IFERROR(INDEX('International Financials'!$A:$ABB,MATCH($AA474,'International Financials'!$A:$A,0),MATCH(AM473,'International Financials'!$1:$1,0)),"")</f>
        <v>15582.598996875</v>
      </c>
      <c r="AN474" s="317">
        <f>IFERROR(INDEX('International Financials'!$A:$ABB,MATCH($AA474,'International Financials'!$A:$A,0),MATCH(AN473,'International Financials'!$1:$1,0)),"")</f>
        <v>17793.619015874006</v>
      </c>
      <c r="AO474" s="317">
        <f>IFERROR(INDEX('International Financials'!$A:$ABB,MATCH($AA474,'International Financials'!$A:$A,0),MATCH(AO473,'International Financials'!$1:$1,0)),"")</f>
        <v>18075.561479676988</v>
      </c>
      <c r="AP474" s="317">
        <f>IFERROR(INDEX('International Financials'!$A:$ABB,MATCH($AA474,'International Financials'!$A:$A,0),MATCH(AP473,'International Financials'!$1:$1,0)),"")</f>
        <v>18113.873570632</v>
      </c>
      <c r="AQ474" s="317">
        <f>IFERROR(INDEX('International Financials'!$A:$ABB,MATCH($AA474,'International Financials'!$A:$A,0),MATCH(AQ473,'International Financials'!$1:$1,0)),"")</f>
        <v>16259.514941362002</v>
      </c>
      <c r="AR474" s="317">
        <f>IFERROR(INDEX('International Financials'!$A:$ABB,MATCH($AA474,'International Financials'!$A:$A,0),MATCH(AR473,'International Financials'!$1:$1,0)),"")</f>
        <v>16589.451157247</v>
      </c>
      <c r="AS474" s="317">
        <f>IFERROR(INDEX('International Financials'!$A:$ABB,MATCH($AA474,'International Financials'!$A:$A,0),MATCH(AS473,'International Financials'!$1:$1,0)),"")</f>
        <v>14426.012917395004</v>
      </c>
      <c r="AT474" s="317">
        <f>IFERROR(INDEX('International Financials'!$A:$ABB,MATCH($AA474,'International Financials'!$A:$A,0),MATCH(AT473,'International Financials'!$1:$1,0)),"")</f>
        <v>15683.666040097545</v>
      </c>
      <c r="AU474" s="317">
        <f>IFERROR(INDEX('International Financials'!$A:$ABB,MATCH($AA474,'International Financials'!$A:$A,0),MATCH(AU473,'International Financials'!$1:$1,0)),"")</f>
        <v>16240.544658256244</v>
      </c>
    </row>
    <row r="475" spans="1:47">
      <c r="A475" s="49"/>
      <c r="B475" s="49"/>
      <c r="C475" s="49"/>
      <c r="D475" s="49"/>
      <c r="E475" s="49"/>
      <c r="F475" s="49"/>
      <c r="G475" s="49"/>
      <c r="H475" s="49"/>
      <c r="I475" s="49"/>
      <c r="J475" s="49"/>
      <c r="K475" s="49"/>
      <c r="L475" s="49"/>
      <c r="M475" s="49"/>
      <c r="N475" s="49"/>
      <c r="O475" s="49"/>
      <c r="P475" s="49"/>
      <c r="Q475" s="49"/>
      <c r="R475" s="49"/>
      <c r="S475" s="49"/>
      <c r="T475" s="49"/>
      <c r="U475" s="49"/>
      <c r="V475" s="49"/>
      <c r="W475" s="49"/>
      <c r="AA475" s="316" t="str">
        <f>'International Financials'!A81</f>
        <v xml:space="preserve">African interest costs </v>
      </c>
      <c r="AB475" s="317">
        <f>IFERROR(INDEX('International Financials'!$A:$ABB,MATCH($AA475,'International Financials'!$A:$A,0),MATCH(AB473,'International Financials'!$1:$1,0)),"")</f>
        <v>5568.4979407052087</v>
      </c>
      <c r="AC475" s="317">
        <f>IFERROR(INDEX('International Financials'!$A:$ABB,MATCH($AA475,'International Financials'!$A:$A,0),MATCH(AC473,'International Financials'!$1:$1,0)),"")</f>
        <v>10705.497668330001</v>
      </c>
      <c r="AD475" s="317">
        <f>IFERROR(INDEX('International Financials'!$A:$ABB,MATCH($AA475,'International Financials'!$A:$A,0),MATCH(AD473,'International Financials'!$1:$1,0)),"")</f>
        <v>7546.7259396139998</v>
      </c>
      <c r="AE475" s="317">
        <f>IFERROR(INDEX('International Financials'!$A:$ABB,MATCH($AA475,'International Financials'!$A:$A,0),MATCH(AE473,'International Financials'!$1:$1,0)),"")</f>
        <v>6933.6222542089999</v>
      </c>
      <c r="AF475" s="317">
        <f>IFERROR(INDEX('International Financials'!$A:$ABB,MATCH($AA475,'International Financials'!$A:$A,0),MATCH(AF473,'International Financials'!$1:$1,0)),"")</f>
        <v>9523.1755547880002</v>
      </c>
      <c r="AG475" s="317">
        <f>IFERROR(INDEX('International Financials'!$A:$ABB,MATCH($AA475,'International Financials'!$A:$A,0),MATCH(AG473,'International Financials'!$1:$1,0)),"")</f>
        <v>7664.7280185560012</v>
      </c>
      <c r="AH475" s="317">
        <f>IFERROR(INDEX('International Financials'!$A:$ABB,MATCH($AA475,'International Financials'!$A:$A,0),MATCH(AH473,'International Financials'!$1:$1,0)),"")</f>
        <v>7243.3816686339997</v>
      </c>
      <c r="AI475" s="317">
        <f>IFERROR(INDEX('International Financials'!$A:$ABB,MATCH($AA475,'International Financials'!$A:$A,0),MATCH(AI473,'International Financials'!$1:$1,0)),"")</f>
        <v>5350.7621655659968</v>
      </c>
      <c r="AJ475" s="317">
        <f>IFERROR(INDEX('International Financials'!$A:$ABB,MATCH($AA475,'International Financials'!$A:$A,0),MATCH(AJ473,'International Financials'!$1:$1,0)),"")</f>
        <v>9214.6660135620041</v>
      </c>
      <c r="AK475" s="317">
        <f>IFERROR(INDEX('International Financials'!$A:$ABB,MATCH($AA475,'International Financials'!$A:$A,0),MATCH(AK473,'International Financials'!$1:$1,0)),"")</f>
        <v>8488.1606041119994</v>
      </c>
      <c r="AL475" s="317">
        <f>IFERROR(INDEX('International Financials'!$A:$ABB,MATCH($AA475,'International Financials'!$A:$A,0),MATCH(AL473,'International Financials'!$1:$1,0)),"")</f>
        <v>11598.415800641989</v>
      </c>
      <c r="AM475" s="317">
        <f>IFERROR(INDEX('International Financials'!$A:$ABB,MATCH($AA475,'International Financials'!$A:$A,0),MATCH(AM473,'International Financials'!$1:$1,0)),"")</f>
        <v>16804.550291168009</v>
      </c>
      <c r="AN475" s="317">
        <f>IFERROR(INDEX('International Financials'!$A:$ABB,MATCH($AA475,'International Financials'!$A:$A,0),MATCH(AN473,'International Financials'!$1:$1,0)),"")</f>
        <v>13303.737909514006</v>
      </c>
      <c r="AO475" s="317">
        <f>IFERROR(INDEX('International Financials'!$A:$ABB,MATCH($AA475,'International Financials'!$A:$A,0),MATCH(AO473,'International Financials'!$1:$1,0)),"")</f>
        <v>16978.764582061995</v>
      </c>
      <c r="AP475" s="317">
        <f>IFERROR(INDEX('International Financials'!$A:$ABB,MATCH($AA475,'International Financials'!$A:$A,0),MATCH(AP473,'International Financials'!$1:$1,0)),"")</f>
        <v>17386.629267354994</v>
      </c>
      <c r="AQ475" s="317">
        <f>IFERROR(INDEX('International Financials'!$A:$ABB,MATCH($AA475,'International Financials'!$A:$A,0),MATCH(AQ473,'International Financials'!$1:$1,0)),"")</f>
        <v>15767.666599438016</v>
      </c>
      <c r="AR475" s="317">
        <f>IFERROR(INDEX('International Financials'!$A:$ABB,MATCH($AA475,'International Financials'!$A:$A,0),MATCH(AR473,'International Financials'!$1:$1,0)),"")</f>
        <v>29432.141197899993</v>
      </c>
      <c r="AS475" s="317">
        <f>IFERROR(INDEX('International Financials'!$A:$ABB,MATCH($AA475,'International Financials'!$A:$A,0),MATCH(AS473,'International Financials'!$1:$1,0)),"")</f>
        <v>11843.720164017028</v>
      </c>
      <c r="AT475" s="317">
        <f>IFERROR(INDEX('International Financials'!$A:$ABB,MATCH($AA475,'International Financials'!$A:$A,0),MATCH(AT473,'International Financials'!$1:$1,0)),"")</f>
        <v>11639.140349186455</v>
      </c>
      <c r="AU475" s="317">
        <f>IFERROR(INDEX('International Financials'!$A:$ABB,MATCH($AA475,'International Financials'!$A:$A,0),MATCH(AU473,'International Financials'!$1:$1,0)),"")</f>
        <v>13146.856554949125</v>
      </c>
    </row>
    <row r="476" spans="1:47">
      <c r="A476" s="49"/>
      <c r="B476" s="49"/>
      <c r="C476" s="49"/>
      <c r="D476" s="49"/>
      <c r="E476" s="49"/>
      <c r="F476" s="49"/>
      <c r="G476" s="49"/>
      <c r="H476" s="49"/>
      <c r="I476" s="49"/>
      <c r="J476" s="49"/>
      <c r="K476" s="49"/>
      <c r="L476" s="49"/>
      <c r="M476" s="49"/>
      <c r="N476" s="49"/>
      <c r="O476" s="49"/>
      <c r="P476" s="49"/>
      <c r="Q476" s="49"/>
      <c r="R476" s="49"/>
      <c r="S476" s="49"/>
      <c r="T476" s="49"/>
      <c r="U476" s="49"/>
      <c r="V476" s="49"/>
      <c r="W476" s="49"/>
    </row>
    <row r="477" spans="1:47">
      <c r="A477" s="49"/>
      <c r="B477" s="49"/>
      <c r="C477" s="49"/>
      <c r="D477" s="49"/>
      <c r="E477" s="49"/>
      <c r="F477" s="49"/>
      <c r="G477" s="49"/>
      <c r="H477" s="49"/>
      <c r="I477" s="49"/>
      <c r="J477" s="49"/>
      <c r="K477" s="49"/>
      <c r="L477" s="49"/>
      <c r="M477" s="49"/>
      <c r="N477" s="49"/>
      <c r="O477" s="49"/>
      <c r="P477" s="49"/>
      <c r="Q477" s="49"/>
      <c r="R477" s="49"/>
      <c r="S477" s="49"/>
      <c r="T477" s="49"/>
      <c r="U477" s="49"/>
      <c r="V477" s="49"/>
      <c r="W477" s="49"/>
    </row>
    <row r="478" spans="1:47">
      <c r="A478" s="49"/>
      <c r="B478" s="49"/>
      <c r="C478" s="49"/>
      <c r="D478" s="49"/>
      <c r="E478" s="49"/>
      <c r="F478" s="49"/>
      <c r="G478" s="49"/>
      <c r="H478" s="49"/>
      <c r="I478" s="49"/>
      <c r="J478" s="49"/>
      <c r="K478" s="49"/>
      <c r="L478" s="49"/>
      <c r="M478" s="49"/>
      <c r="N478" s="49"/>
      <c r="O478" s="49"/>
      <c r="P478" s="49"/>
      <c r="Q478" s="49"/>
      <c r="R478" s="49"/>
      <c r="S478" s="49"/>
      <c r="T478" s="49"/>
      <c r="U478" s="49"/>
      <c r="V478" s="49"/>
      <c r="W478" s="49"/>
    </row>
    <row r="479" spans="1:47">
      <c r="A479" s="49" t="s">
        <v>597</v>
      </c>
      <c r="B479" s="49"/>
      <c r="C479" s="49"/>
      <c r="D479" s="49"/>
      <c r="E479" s="49"/>
      <c r="F479" s="49"/>
      <c r="G479" s="49"/>
      <c r="H479" s="49"/>
      <c r="I479" s="49"/>
      <c r="J479" s="49"/>
      <c r="K479" s="49"/>
      <c r="L479" s="49"/>
      <c r="M479" s="49"/>
      <c r="N479" s="49"/>
      <c r="O479" s="49"/>
      <c r="P479" s="49"/>
      <c r="Q479" s="49"/>
      <c r="R479" s="49"/>
      <c r="S479" s="49"/>
      <c r="T479" s="49"/>
      <c r="U479" s="49"/>
      <c r="V479" s="49"/>
      <c r="W479" s="49"/>
    </row>
    <row r="480" spans="1:47">
      <c r="A480" s="49"/>
      <c r="B480" s="49"/>
      <c r="C480" s="49"/>
      <c r="D480" s="49"/>
      <c r="E480" s="49"/>
      <c r="F480" s="49"/>
      <c r="G480" s="49"/>
      <c r="H480" s="49"/>
      <c r="I480" s="49"/>
      <c r="J480" s="49"/>
      <c r="K480" s="49"/>
      <c r="L480" s="49"/>
      <c r="M480" s="49"/>
      <c r="N480" s="49"/>
      <c r="O480" s="49"/>
      <c r="P480" s="49"/>
      <c r="Q480" s="49"/>
      <c r="R480" s="49"/>
      <c r="S480" s="49"/>
      <c r="T480" s="49"/>
      <c r="U480" s="49"/>
      <c r="V480" s="49"/>
      <c r="W480" s="49"/>
    </row>
    <row r="481" spans="1:47">
      <c r="A481" s="1" t="s">
        <v>450</v>
      </c>
      <c r="B481" s="1" t="s">
        <v>548</v>
      </c>
      <c r="C481" s="1"/>
      <c r="D481" s="1"/>
      <c r="E481" s="1"/>
      <c r="F481" s="1"/>
      <c r="G481" s="1"/>
      <c r="H481" s="1"/>
      <c r="I481" s="1"/>
      <c r="J481" s="1"/>
      <c r="K481" s="1" t="s">
        <v>451</v>
      </c>
      <c r="L481" s="1" t="s">
        <v>549</v>
      </c>
      <c r="M481" s="1"/>
      <c r="N481" s="1"/>
      <c r="O481" s="1"/>
      <c r="P481" s="1"/>
      <c r="Q481" s="1"/>
      <c r="R481" s="1"/>
      <c r="S481" s="1"/>
      <c r="T481" s="1"/>
      <c r="U481" s="49"/>
      <c r="V481" s="49"/>
      <c r="W481" s="49"/>
    </row>
    <row r="482" spans="1:47">
      <c r="A482" s="49"/>
      <c r="B482" s="49"/>
      <c r="C482" s="49"/>
      <c r="D482" s="49"/>
      <c r="E482" s="49"/>
      <c r="F482" s="49"/>
      <c r="G482" s="49"/>
      <c r="H482" s="49"/>
      <c r="I482" s="49"/>
      <c r="J482" s="49"/>
      <c r="K482" s="49"/>
      <c r="L482" s="49"/>
      <c r="M482" s="49"/>
      <c r="N482" s="49"/>
      <c r="O482" s="49"/>
      <c r="P482" s="49"/>
      <c r="Q482" s="49"/>
      <c r="R482" s="49"/>
      <c r="S482" s="49"/>
      <c r="T482" s="49"/>
      <c r="U482" s="49"/>
      <c r="V482" s="49"/>
      <c r="W482" s="49"/>
    </row>
    <row r="483" spans="1:47">
      <c r="A483" s="49"/>
      <c r="B483" s="49"/>
      <c r="C483" s="49"/>
      <c r="D483" s="49"/>
      <c r="E483" s="49"/>
      <c r="F483" s="49"/>
      <c r="G483" s="49"/>
      <c r="H483" s="49"/>
      <c r="I483" s="49"/>
      <c r="J483" s="49"/>
      <c r="K483" s="49"/>
      <c r="L483" s="49"/>
      <c r="M483" s="49"/>
      <c r="N483" s="49"/>
      <c r="O483" s="49"/>
      <c r="P483" s="49"/>
      <c r="Q483" s="49"/>
      <c r="R483" s="49"/>
      <c r="S483" s="49"/>
      <c r="T483" s="49"/>
      <c r="U483" s="49"/>
      <c r="V483" s="49"/>
      <c r="W483" s="49"/>
      <c r="AB483" s="303">
        <f t="shared" ref="AB483" si="742">AC483-1</f>
        <v>35</v>
      </c>
      <c r="AC483" s="303">
        <f t="shared" ref="AC483" si="743">AD483-1</f>
        <v>36</v>
      </c>
      <c r="AD483" s="303">
        <f t="shared" ref="AD483" si="744">AE483-1</f>
        <v>37</v>
      </c>
      <c r="AE483" s="303">
        <f t="shared" ref="AE483" si="745">AF483-1</f>
        <v>38</v>
      </c>
      <c r="AF483" s="303">
        <f t="shared" ref="AF483" si="746">AG483-1</f>
        <v>39</v>
      </c>
      <c r="AG483" s="303">
        <f t="shared" ref="AG483" si="747">AH483-1</f>
        <v>40</v>
      </c>
      <c r="AH483" s="303">
        <f t="shared" ref="AH483" si="748">AI483-1</f>
        <v>41</v>
      </c>
      <c r="AI483" s="303">
        <f t="shared" ref="AI483" si="749">AJ483-1</f>
        <v>42</v>
      </c>
      <c r="AJ483" s="303">
        <f t="shared" ref="AJ483" si="750">AK483-1</f>
        <v>43</v>
      </c>
      <c r="AK483" s="303">
        <f t="shared" ref="AK483" si="751">AL483-1</f>
        <v>44</v>
      </c>
      <c r="AL483" s="303">
        <f t="shared" ref="AL483" si="752">AM483-1</f>
        <v>45</v>
      </c>
      <c r="AM483" s="303">
        <f t="shared" ref="AM483" si="753">AN483-1</f>
        <v>46</v>
      </c>
      <c r="AN483" s="303">
        <f t="shared" ref="AN483" si="754">AO483-1</f>
        <v>47</v>
      </c>
      <c r="AO483" s="303">
        <f t="shared" ref="AO483" si="755">AP483-1</f>
        <v>48</v>
      </c>
      <c r="AP483" s="303">
        <f t="shared" ref="AP483" si="756">AQ483-1</f>
        <v>49</v>
      </c>
      <c r="AQ483" s="303">
        <f t="shared" ref="AQ483" si="757">AR483-1</f>
        <v>50</v>
      </c>
      <c r="AR483" s="303">
        <f t="shared" ref="AR483" si="758">AS483-1</f>
        <v>51</v>
      </c>
      <c r="AS483" s="303">
        <f t="shared" ref="AS483" si="759">AT483-1</f>
        <v>52</v>
      </c>
      <c r="AT483" s="303">
        <f t="shared" ref="AT483" si="760">AU483-1</f>
        <v>53</v>
      </c>
      <c r="AU483" s="303">
        <f>VLOOKUP(AU484,Dates!$A:$D,2,FALSE)</f>
        <v>54</v>
      </c>
    </row>
    <row r="484" spans="1:47">
      <c r="A484" s="49"/>
      <c r="B484" s="49"/>
      <c r="C484" s="49"/>
      <c r="D484" s="49"/>
      <c r="E484" s="49"/>
      <c r="F484" s="49"/>
      <c r="G484" s="49"/>
      <c r="H484" s="49"/>
      <c r="I484" s="49"/>
      <c r="J484" s="49"/>
      <c r="K484" s="49"/>
      <c r="L484" s="49"/>
      <c r="M484" s="49"/>
      <c r="N484" s="49"/>
      <c r="O484" s="49"/>
      <c r="P484" s="49"/>
      <c r="Q484" s="49"/>
      <c r="R484" s="49"/>
      <c r="S484" s="49"/>
      <c r="T484" s="49"/>
      <c r="U484" s="49"/>
      <c r="V484" s="49"/>
      <c r="W484" s="49"/>
      <c r="AB484" s="303" t="str">
        <f>IFERROR(VLOOKUP(AB483,Dates!$B:$D,3,FALSE),"")</f>
        <v>3Q20</v>
      </c>
      <c r="AC484" s="303" t="str">
        <f>IFERROR(VLOOKUP(AC483,Dates!$B:$D,3,FALSE),"")</f>
        <v>4Q20</v>
      </c>
      <c r="AD484" s="303" t="str">
        <f>IFERROR(VLOOKUP(AD483,Dates!$B:$D,3,FALSE),"")</f>
        <v>1Q21</v>
      </c>
      <c r="AE484" s="303" t="str">
        <f>IFERROR(VLOOKUP(AE483,Dates!$B:$D,3,FALSE),"")</f>
        <v>2Q21</v>
      </c>
      <c r="AF484" s="303" t="str">
        <f>IFERROR(VLOOKUP(AF483,Dates!$B:$D,3,FALSE),"")</f>
        <v>3Q21</v>
      </c>
      <c r="AG484" s="303" t="str">
        <f>IFERROR(VLOOKUP(AG483,Dates!$B:$D,3,FALSE),"")</f>
        <v>4Q21</v>
      </c>
      <c r="AH484" s="303" t="str">
        <f>IFERROR(VLOOKUP(AH483,Dates!$B:$D,3,FALSE),"")</f>
        <v>1Q22</v>
      </c>
      <c r="AI484" s="303" t="str">
        <f>IFERROR(VLOOKUP(AI483,Dates!$B:$D,3,FALSE),"")</f>
        <v>2Q22</v>
      </c>
      <c r="AJ484" s="303" t="str">
        <f>IFERROR(VLOOKUP(AJ483,Dates!$B:$D,3,FALSE),"")</f>
        <v>3Q22</v>
      </c>
      <c r="AK484" s="303" t="str">
        <f>IFERROR(VLOOKUP(AK483,Dates!$B:$D,3,FALSE),"")</f>
        <v>4Q22</v>
      </c>
      <c r="AL484" s="303" t="str">
        <f>IFERROR(VLOOKUP(AL483,Dates!$B:$D,3,FALSE),"")</f>
        <v>1Q23</v>
      </c>
      <c r="AM484" s="303" t="str">
        <f>IFERROR(VLOOKUP(AM483,Dates!$B:$D,3,FALSE),"")</f>
        <v>2Q23</v>
      </c>
      <c r="AN484" s="303" t="str">
        <f>IFERROR(VLOOKUP(AN483,Dates!$B:$D,3,FALSE),"")</f>
        <v>3Q23</v>
      </c>
      <c r="AO484" s="303" t="str">
        <f>IFERROR(VLOOKUP(AO483,Dates!$B:$D,3,FALSE),"")</f>
        <v>4Q23</v>
      </c>
      <c r="AP484" s="303" t="str">
        <f>IFERROR(VLOOKUP(AP483,Dates!$B:$D,3,FALSE),"")</f>
        <v>1Q24</v>
      </c>
      <c r="AQ484" s="303" t="str">
        <f>IFERROR(VLOOKUP(AQ483,Dates!$B:$D,3,FALSE),"")</f>
        <v>2Q24</v>
      </c>
      <c r="AR484" s="303" t="str">
        <f>IFERROR(VLOOKUP(AR483,Dates!$B:$D,3,FALSE),"")</f>
        <v>3Q24</v>
      </c>
      <c r="AS484" s="303" t="str">
        <f>IFERROR(VLOOKUP(AS483,Dates!$B:$D,3,FALSE),"")</f>
        <v>4Q24</v>
      </c>
      <c r="AT484" s="303" t="str">
        <f>IFERROR(VLOOKUP(AT483,Dates!$B:$D,3,FALSE),"")</f>
        <v>1Q25</v>
      </c>
      <c r="AU484" s="315" t="str">
        <f>$G$3</f>
        <v>2Q25</v>
      </c>
    </row>
    <row r="485" spans="1:47">
      <c r="A485" s="49"/>
      <c r="B485" s="49"/>
      <c r="C485" s="49"/>
      <c r="D485" s="49"/>
      <c r="E485" s="49"/>
      <c r="F485" s="49"/>
      <c r="G485" s="49"/>
      <c r="H485" s="49"/>
      <c r="I485" s="49"/>
      <c r="J485" s="49"/>
      <c r="K485" s="49"/>
      <c r="L485" s="49"/>
      <c r="M485" s="49"/>
      <c r="N485" s="49"/>
      <c r="O485" s="49"/>
      <c r="P485" s="49"/>
      <c r="Q485" s="49"/>
      <c r="R485" s="49"/>
      <c r="S485" s="49"/>
      <c r="T485" s="49"/>
      <c r="U485" s="49"/>
      <c r="V485" s="49"/>
      <c r="W485" s="49"/>
      <c r="AA485" s="316" t="str">
        <f>'International Financials'!A83</f>
        <v>African pre-tax profit/(loss)</v>
      </c>
      <c r="AB485" s="317">
        <f>IFERROR(INDEX('International Financials'!$A:$ABB,MATCH($AA485,'International Financials'!$A:$A,0),MATCH(AB484,'International Financials'!$1:$1,0)),"")</f>
        <v>11829.187863265332</v>
      </c>
      <c r="AC485" s="317">
        <f>IFERROR(INDEX('International Financials'!$A:$ABB,MATCH($AA485,'International Financials'!$A:$A,0),MATCH(AC484,'International Financials'!$1:$1,0)),"")</f>
        <v>6921.5072146920393</v>
      </c>
      <c r="AD485" s="317">
        <f>IFERROR(INDEX('International Financials'!$A:$ABB,MATCH($AA485,'International Financials'!$A:$A,0),MATCH(AD484,'International Financials'!$1:$1,0)),"")</f>
        <v>8386.0428078699915</v>
      </c>
      <c r="AE485" s="317">
        <f>IFERROR(INDEX('International Financials'!$A:$ABB,MATCH($AA485,'International Financials'!$A:$A,0),MATCH(AE484,'International Financials'!$1:$1,0)),"")</f>
        <v>13018.606606826968</v>
      </c>
      <c r="AF485" s="317">
        <f>IFERROR(INDEX('International Financials'!$A:$ABB,MATCH($AA485,'International Financials'!$A:$A,0),MATCH(AF484,'International Financials'!$1:$1,0)),"")</f>
        <v>13222.224953258998</v>
      </c>
      <c r="AG485" s="317">
        <f>IFERROR(INDEX('International Financials'!$A:$ABB,MATCH($AA485,'International Financials'!$A:$A,0),MATCH(AG484,'International Financials'!$1:$1,0)),"")</f>
        <v>15662.350967222992</v>
      </c>
      <c r="AH485" s="317">
        <f>IFERROR(INDEX('International Financials'!$A:$ABB,MATCH($AA485,'International Financials'!$A:$A,0),MATCH(AH484,'International Financials'!$1:$1,0)),"")</f>
        <v>18682.546486510004</v>
      </c>
      <c r="AI485" s="317">
        <f>IFERROR(INDEX('International Financials'!$A:$ABB,MATCH($AA485,'International Financials'!$A:$A,0),MATCH(AI484,'International Financials'!$1:$1,0)),"")</f>
        <v>22706.510644103968</v>
      </c>
      <c r="AJ485" s="317">
        <f>IFERROR(INDEX('International Financials'!$A:$ABB,MATCH($AA485,'International Financials'!$A:$A,0),MATCH(AJ484,'International Financials'!$1:$1,0)),"")</f>
        <v>21724.109257386008</v>
      </c>
      <c r="AK485" s="317">
        <f>IFERROR(INDEX('International Financials'!$A:$ABB,MATCH($AA485,'International Financials'!$A:$A,0),MATCH(AK484,'International Financials'!$1:$1,0)),"")</f>
        <v>23175.390735781017</v>
      </c>
      <c r="AL485" s="317">
        <f>IFERROR(INDEX('International Financials'!$A:$ABB,MATCH($AA485,'International Financials'!$A:$A,0),MATCH(AL484,'International Financials'!$1:$1,0)),"")</f>
        <v>21208.855069253987</v>
      </c>
      <c r="AM485" s="317">
        <f>IFERROR(INDEX('International Financials'!$A:$ABB,MATCH($AA485,'International Financials'!$A:$A,0),MATCH(AM484,'International Financials'!$1:$1,0)),"")</f>
        <v>18864.608449846986</v>
      </c>
      <c r="AN485" s="317">
        <f>IFERROR(INDEX('International Financials'!$A:$ABB,MATCH($AA485,'International Financials'!$A:$A,0),MATCH(AN484,'International Financials'!$1:$1,0)),"")</f>
        <v>23370.301025781853</v>
      </c>
      <c r="AO485" s="317">
        <f>IFERROR(INDEX('International Financials'!$A:$ABB,MATCH($AA485,'International Financials'!$A:$A,0),MATCH(AO484,'International Financials'!$1:$1,0)),"")</f>
        <v>19125.719918827155</v>
      </c>
      <c r="AP485" s="317">
        <f>IFERROR(INDEX('International Financials'!$A:$ABB,MATCH($AA485,'International Financials'!$A:$A,0),MATCH(AP484,'International Financials'!$1:$1,0)),"")</f>
        <v>20530.322154781974</v>
      </c>
      <c r="AQ485" s="317">
        <f>IFERROR(INDEX('International Financials'!$A:$ABB,MATCH($AA485,'International Financials'!$A:$A,0),MATCH(AQ484,'International Financials'!$1:$1,0)),"")</f>
        <v>19130.515209532088</v>
      </c>
      <c r="AR485" s="317">
        <f>IFERROR(INDEX('International Financials'!$A:$ABB,MATCH($AA485,'International Financials'!$A:$A,0),MATCH(AR484,'International Financials'!$1:$1,0)),"")</f>
        <v>4568.745106986029</v>
      </c>
      <c r="AS485" s="317">
        <f>IFERROR(INDEX('International Financials'!$A:$ABB,MATCH($AA485,'International Financials'!$A:$A,0),MATCH(AS484,'International Financials'!$1:$1,0)),"")</f>
        <v>16967.173169438905</v>
      </c>
      <c r="AT485" s="317">
        <f>IFERROR(INDEX('International Financials'!$A:$ABB,MATCH($AA485,'International Financials'!$A:$A,0),MATCH(AT484,'International Financials'!$1:$1,0)),"")</f>
        <v>16293.722708280256</v>
      </c>
      <c r="AU485" s="317">
        <f>IFERROR(INDEX('International Financials'!$A:$ABB,MATCH($AA485,'International Financials'!$A:$A,0),MATCH(AU484,'International Financials'!$1:$1,0)),"")</f>
        <v>17871.099553270149</v>
      </c>
    </row>
    <row r="486" spans="1:47">
      <c r="A486" s="49"/>
      <c r="B486" s="49"/>
      <c r="C486" s="49"/>
      <c r="D486" s="49"/>
      <c r="E486" s="49"/>
      <c r="F486" s="49"/>
      <c r="G486" s="49"/>
      <c r="H486" s="49"/>
      <c r="I486" s="49"/>
      <c r="J486" s="49"/>
      <c r="K486" s="49"/>
      <c r="L486" s="49"/>
      <c r="M486" s="49"/>
      <c r="N486" s="49"/>
      <c r="O486" s="49"/>
      <c r="P486" s="49"/>
      <c r="Q486" s="49"/>
      <c r="R486" s="49"/>
      <c r="S486" s="49"/>
      <c r="T486" s="49"/>
      <c r="U486" s="49"/>
      <c r="V486" s="49"/>
      <c r="W486" s="49"/>
      <c r="AA486" s="316" t="str">
        <f>'International Financials'!A84</f>
        <v xml:space="preserve">African tax </v>
      </c>
      <c r="AB486" s="317">
        <f>IFERROR(INDEX('International Financials'!$A:$ABB,MATCH($AA486,'International Financials'!$A:$A,0),MATCH(AB484,'International Financials'!$1:$1,0)),"")</f>
        <v>9366.6514552183362</v>
      </c>
      <c r="AC486" s="317">
        <f>IFERROR(INDEX('International Financials'!$A:$ABB,MATCH($AA486,'International Financials'!$A:$A,0),MATCH(AC484,'International Financials'!$1:$1,0)),"")</f>
        <v>4214.5072146920393</v>
      </c>
      <c r="AD486" s="317">
        <f>IFERROR(INDEX('International Financials'!$A:$ABB,MATCH($AA486,'International Financials'!$A:$A,0),MATCH(AD484,'International Financials'!$1:$1,0)),"")</f>
        <v>6210.2787311507418</v>
      </c>
      <c r="AE486" s="317">
        <f>IFERROR(INDEX('International Financials'!$A:$ABB,MATCH($AA486,'International Financials'!$A:$A,0),MATCH(AE484,'International Financials'!$1:$1,0)),"")</f>
        <v>9359.2222772142177</v>
      </c>
      <c r="AF486" s="317">
        <f>IFERROR(INDEX('International Financials'!$A:$ABB,MATCH($AA486,'International Financials'!$A:$A,0),MATCH(AF484,'International Financials'!$1:$1,0)),"")</f>
        <v>10205.45549792</v>
      </c>
      <c r="AG486" s="317">
        <f>IFERROR(INDEX('International Financials'!$A:$ABB,MATCH($AA486,'International Financials'!$A:$A,0),MATCH(AG484,'International Financials'!$1:$1,0)),"")</f>
        <v>10743.100952881003</v>
      </c>
      <c r="AH486" s="317">
        <f>IFERROR(INDEX('International Financials'!$A:$ABB,MATCH($AA486,'International Financials'!$A:$A,0),MATCH(AH484,'International Financials'!$1:$1,0)),"")</f>
        <v>13721.949985421001</v>
      </c>
      <c r="AI486" s="317">
        <f>IFERROR(INDEX('International Financials'!$A:$ABB,MATCH($AA486,'International Financials'!$A:$A,0),MATCH(AI484,'International Financials'!$1:$1,0)),"")</f>
        <v>16128.558177182998</v>
      </c>
      <c r="AJ486" s="317">
        <f>IFERROR(INDEX('International Financials'!$A:$ABB,MATCH($AA486,'International Financials'!$A:$A,0),MATCH(AJ484,'International Financials'!$1:$1,0)),"")</f>
        <v>15497.037001563</v>
      </c>
      <c r="AK486" s="317">
        <f>IFERROR(INDEX('International Financials'!$A:$ABB,MATCH($AA486,'International Financials'!$A:$A,0),MATCH(AK484,'International Financials'!$1:$1,0)),"")</f>
        <v>16006.226543364002</v>
      </c>
      <c r="AL486" s="317">
        <f>IFERROR(INDEX('International Financials'!$A:$ABB,MATCH($AA486,'International Financials'!$A:$A,0),MATCH(AL484,'International Financials'!$1:$1,0)),"")</f>
        <v>15088.445094963998</v>
      </c>
      <c r="AM486" s="317">
        <f>IFERROR(INDEX('International Financials'!$A:$ABB,MATCH($AA486,'International Financials'!$A:$A,0),MATCH(AM484,'International Financials'!$1:$1,0)),"")</f>
        <v>14039.608449846986</v>
      </c>
      <c r="AN486" s="317">
        <f>IFERROR(INDEX('International Financials'!$A:$ABB,MATCH($AA486,'International Financials'!$A:$A,0),MATCH(AN484,'International Financials'!$1:$1,0)),"")</f>
        <v>16446.233709046006</v>
      </c>
      <c r="AO486" s="317">
        <f>IFERROR(INDEX('International Financials'!$A:$ABB,MATCH($AA486,'International Financials'!$A:$A,0),MATCH(AO484,'International Financials'!$1:$1,0)),"")</f>
        <v>14271.719918827155</v>
      </c>
      <c r="AP486" s="317">
        <f>IFERROR(INDEX('International Financials'!$A:$ABB,MATCH($AA486,'International Financials'!$A:$A,0),MATCH(AP484,'International Financials'!$1:$1,0)),"")</f>
        <v>13787.837580961002</v>
      </c>
      <c r="AQ486" s="317">
        <f>IFERROR(INDEX('International Financials'!$A:$ABB,MATCH($AA486,'International Financials'!$A:$A,0),MATCH(AQ484,'International Financials'!$1:$1,0)),"")</f>
        <v>13801.698118389997</v>
      </c>
      <c r="AR486" s="317">
        <f>IFERROR(INDEX('International Financials'!$A:$ABB,MATCH($AA486,'International Financials'!$A:$A,0),MATCH(AR484,'International Financials'!$1:$1,0)),"")</f>
        <v>4492.7807727830077</v>
      </c>
      <c r="AS486" s="317">
        <f>IFERROR(INDEX('International Financials'!$A:$ABB,MATCH($AA486,'International Financials'!$A:$A,0),MATCH(AS484,'International Financials'!$1:$1,0)),"")</f>
        <v>11647.065163880992</v>
      </c>
      <c r="AT486" s="317">
        <f>IFERROR(INDEX('International Financials'!$A:$ABB,MATCH($AA486,'International Financials'!$A:$A,0),MATCH(AT484,'International Financials'!$1:$1,0)),"")</f>
        <v>12276.848353492845</v>
      </c>
      <c r="AU486" s="317">
        <f>IFERROR(INDEX('International Financials'!$A:$ABB,MATCH($AA486,'International Financials'!$A:$A,0),MATCH(AU484,'International Financials'!$1:$1,0)),"")</f>
        <v>13317.569034148373</v>
      </c>
    </row>
    <row r="487" spans="1:47">
      <c r="A487" s="49"/>
      <c r="B487" s="49"/>
      <c r="C487" s="49"/>
      <c r="D487" s="49"/>
      <c r="E487" s="49"/>
      <c r="F487" s="49"/>
      <c r="G487" s="49"/>
      <c r="H487" s="49"/>
      <c r="I487" s="49"/>
      <c r="J487" s="49"/>
      <c r="K487" s="49"/>
      <c r="L487" s="49"/>
      <c r="M487" s="49"/>
      <c r="N487" s="49"/>
      <c r="O487" s="49"/>
      <c r="P487" s="49"/>
      <c r="Q487" s="49"/>
      <c r="R487" s="49"/>
      <c r="S487" s="49"/>
      <c r="T487" s="49"/>
      <c r="U487" s="49"/>
      <c r="V487" s="49"/>
      <c r="W487" s="49"/>
    </row>
    <row r="488" spans="1:47">
      <c r="A488" s="49"/>
      <c r="B488" s="49"/>
      <c r="C488" s="49"/>
      <c r="D488" s="49"/>
      <c r="E488" s="49"/>
      <c r="F488" s="49"/>
      <c r="G488" s="49"/>
      <c r="H488" s="49"/>
      <c r="I488" s="49"/>
      <c r="J488" s="49"/>
      <c r="K488" s="49"/>
      <c r="L488" s="49"/>
      <c r="M488" s="49"/>
      <c r="N488" s="49"/>
      <c r="O488" s="49"/>
      <c r="P488" s="49"/>
      <c r="Q488" s="49"/>
      <c r="R488" s="49"/>
      <c r="S488" s="49"/>
      <c r="T488" s="49"/>
      <c r="U488" s="49"/>
      <c r="V488" s="49"/>
      <c r="W488" s="49"/>
    </row>
    <row r="489" spans="1:47">
      <c r="A489" s="49"/>
      <c r="B489" s="49"/>
      <c r="C489" s="49"/>
      <c r="D489" s="49"/>
      <c r="E489" s="49"/>
      <c r="F489" s="49"/>
      <c r="G489" s="49"/>
      <c r="H489" s="49"/>
      <c r="I489" s="49"/>
      <c r="J489" s="49"/>
      <c r="K489" s="49"/>
      <c r="L489" s="49"/>
      <c r="M489" s="49"/>
      <c r="N489" s="49"/>
      <c r="O489" s="49"/>
      <c r="P489" s="49"/>
      <c r="Q489" s="49"/>
      <c r="R489" s="49"/>
      <c r="S489" s="49"/>
      <c r="T489" s="49"/>
      <c r="U489" s="49"/>
      <c r="V489" s="49"/>
      <c r="W489" s="49"/>
      <c r="AB489" s="303">
        <f t="shared" ref="AB489" si="761">AC489-1</f>
        <v>35</v>
      </c>
      <c r="AC489" s="303">
        <f t="shared" ref="AC489" si="762">AD489-1</f>
        <v>36</v>
      </c>
      <c r="AD489" s="303">
        <f t="shared" ref="AD489" si="763">AE489-1</f>
        <v>37</v>
      </c>
      <c r="AE489" s="303">
        <f t="shared" ref="AE489" si="764">AF489-1</f>
        <v>38</v>
      </c>
      <c r="AF489" s="303">
        <f t="shared" ref="AF489" si="765">AG489-1</f>
        <v>39</v>
      </c>
      <c r="AG489" s="303">
        <f t="shared" ref="AG489" si="766">AH489-1</f>
        <v>40</v>
      </c>
      <c r="AH489" s="303">
        <f t="shared" ref="AH489" si="767">AI489-1</f>
        <v>41</v>
      </c>
      <c r="AI489" s="303">
        <f t="shared" ref="AI489" si="768">AJ489-1</f>
        <v>42</v>
      </c>
      <c r="AJ489" s="303">
        <f t="shared" ref="AJ489" si="769">AK489-1</f>
        <v>43</v>
      </c>
      <c r="AK489" s="303">
        <f t="shared" ref="AK489" si="770">AL489-1</f>
        <v>44</v>
      </c>
      <c r="AL489" s="303">
        <f t="shared" ref="AL489" si="771">AM489-1</f>
        <v>45</v>
      </c>
      <c r="AM489" s="303">
        <f t="shared" ref="AM489" si="772">AN489-1</f>
        <v>46</v>
      </c>
      <c r="AN489" s="303">
        <f t="shared" ref="AN489" si="773">AO489-1</f>
        <v>47</v>
      </c>
      <c r="AO489" s="303">
        <f t="shared" ref="AO489" si="774">AP489-1</f>
        <v>48</v>
      </c>
      <c r="AP489" s="303">
        <f t="shared" ref="AP489" si="775">AQ489-1</f>
        <v>49</v>
      </c>
      <c r="AQ489" s="303">
        <f t="shared" ref="AQ489" si="776">AR489-1</f>
        <v>50</v>
      </c>
      <c r="AR489" s="303">
        <f t="shared" ref="AR489" si="777">AS489-1</f>
        <v>51</v>
      </c>
      <c r="AS489" s="303">
        <f t="shared" ref="AS489" si="778">AT489-1</f>
        <v>52</v>
      </c>
      <c r="AT489" s="303">
        <f t="shared" ref="AT489" si="779">AU489-1</f>
        <v>53</v>
      </c>
      <c r="AU489" s="303">
        <f>VLOOKUP(AU490,Dates!$A:$D,2,FALSE)</f>
        <v>54</v>
      </c>
    </row>
    <row r="490" spans="1:47">
      <c r="A490" s="49"/>
      <c r="B490" s="49"/>
      <c r="C490" s="49"/>
      <c r="D490" s="49"/>
      <c r="E490" s="49"/>
      <c r="F490" s="49"/>
      <c r="G490" s="49"/>
      <c r="H490" s="49"/>
      <c r="I490" s="49"/>
      <c r="J490" s="49"/>
      <c r="K490" s="49"/>
      <c r="L490" s="49"/>
      <c r="M490" s="49"/>
      <c r="N490" s="49"/>
      <c r="O490" s="49"/>
      <c r="P490" s="49"/>
      <c r="Q490" s="49"/>
      <c r="R490" s="49"/>
      <c r="S490" s="49"/>
      <c r="T490" s="49"/>
      <c r="U490" s="49"/>
      <c r="V490" s="49"/>
      <c r="W490" s="49"/>
      <c r="AB490" s="303" t="str">
        <f>IFERROR(VLOOKUP(AB489,Dates!$B:$D,3,FALSE),"")</f>
        <v>3Q20</v>
      </c>
      <c r="AC490" s="303" t="str">
        <f>IFERROR(VLOOKUP(AC489,Dates!$B:$D,3,FALSE),"")</f>
        <v>4Q20</v>
      </c>
      <c r="AD490" s="303" t="str">
        <f>IFERROR(VLOOKUP(AD489,Dates!$B:$D,3,FALSE),"")</f>
        <v>1Q21</v>
      </c>
      <c r="AE490" s="303" t="str">
        <f>IFERROR(VLOOKUP(AE489,Dates!$B:$D,3,FALSE),"")</f>
        <v>2Q21</v>
      </c>
      <c r="AF490" s="303" t="str">
        <f>IFERROR(VLOOKUP(AF489,Dates!$B:$D,3,FALSE),"")</f>
        <v>3Q21</v>
      </c>
      <c r="AG490" s="303" t="str">
        <f>IFERROR(VLOOKUP(AG489,Dates!$B:$D,3,FALSE),"")</f>
        <v>4Q21</v>
      </c>
      <c r="AH490" s="303" t="str">
        <f>IFERROR(VLOOKUP(AH489,Dates!$B:$D,3,FALSE),"")</f>
        <v>1Q22</v>
      </c>
      <c r="AI490" s="303" t="str">
        <f>IFERROR(VLOOKUP(AI489,Dates!$B:$D,3,FALSE),"")</f>
        <v>2Q22</v>
      </c>
      <c r="AJ490" s="303" t="str">
        <f>IFERROR(VLOOKUP(AJ489,Dates!$B:$D,3,FALSE),"")</f>
        <v>3Q22</v>
      </c>
      <c r="AK490" s="303" t="str">
        <f>IFERROR(VLOOKUP(AK489,Dates!$B:$D,3,FALSE),"")</f>
        <v>4Q22</v>
      </c>
      <c r="AL490" s="303" t="str">
        <f>IFERROR(VLOOKUP(AL489,Dates!$B:$D,3,FALSE),"")</f>
        <v>1Q23</v>
      </c>
      <c r="AM490" s="303" t="str">
        <f>IFERROR(VLOOKUP(AM489,Dates!$B:$D,3,FALSE),"")</f>
        <v>2Q23</v>
      </c>
      <c r="AN490" s="303" t="str">
        <f>IFERROR(VLOOKUP(AN489,Dates!$B:$D,3,FALSE),"")</f>
        <v>3Q23</v>
      </c>
      <c r="AO490" s="303" t="str">
        <f>IFERROR(VLOOKUP(AO489,Dates!$B:$D,3,FALSE),"")</f>
        <v>4Q23</v>
      </c>
      <c r="AP490" s="303" t="str">
        <f>IFERROR(VLOOKUP(AP489,Dates!$B:$D,3,FALSE),"")</f>
        <v>1Q24</v>
      </c>
      <c r="AQ490" s="303" t="str">
        <f>IFERROR(VLOOKUP(AQ489,Dates!$B:$D,3,FALSE),"")</f>
        <v>2Q24</v>
      </c>
      <c r="AR490" s="303" t="str">
        <f>IFERROR(VLOOKUP(AR489,Dates!$B:$D,3,FALSE),"")</f>
        <v>3Q24</v>
      </c>
      <c r="AS490" s="303" t="str">
        <f>IFERROR(VLOOKUP(AS489,Dates!$B:$D,3,FALSE),"")</f>
        <v>4Q24</v>
      </c>
      <c r="AT490" s="303" t="str">
        <f>IFERROR(VLOOKUP(AT489,Dates!$B:$D,3,FALSE),"")</f>
        <v>1Q25</v>
      </c>
      <c r="AU490" s="315" t="str">
        <f>$G$3</f>
        <v>2Q25</v>
      </c>
    </row>
    <row r="491" spans="1:47">
      <c r="A491" s="49"/>
      <c r="B491" s="49"/>
      <c r="C491" s="49"/>
      <c r="D491" s="49"/>
      <c r="E491" s="49"/>
      <c r="F491" s="49"/>
      <c r="G491" s="49"/>
      <c r="H491" s="49"/>
      <c r="I491" s="49"/>
      <c r="J491" s="49"/>
      <c r="K491" s="49"/>
      <c r="L491" s="49"/>
      <c r="M491" s="49"/>
      <c r="N491" s="49"/>
      <c r="O491" s="49"/>
      <c r="P491" s="49"/>
      <c r="Q491" s="49"/>
      <c r="R491" s="49"/>
      <c r="S491" s="49"/>
      <c r="T491" s="49"/>
      <c r="U491" s="49"/>
      <c r="V491" s="49"/>
      <c r="W491" s="49"/>
      <c r="AA491" s="316" t="str">
        <f>'International Financials'!A97</f>
        <v>Avg capex</v>
      </c>
      <c r="AB491" s="317">
        <f>IFERROR(INDEX('International Financials'!$A:$ABB,MATCH($AA491,'International Financials'!$A:$A,0),MATCH(AB490,'International Financials'!$1:$1,0)),"")</f>
        <v>12356.381870567544</v>
      </c>
      <c r="AC491" s="317">
        <f>IFERROR(INDEX('International Financials'!$A:$ABB,MATCH($AA491,'International Financials'!$A:$A,0),MATCH(AC490,'International Financials'!$1:$1,0)),"")</f>
        <v>11459.684110086204</v>
      </c>
      <c r="AD491" s="317">
        <f>IFERROR(INDEX('International Financials'!$A:$ABB,MATCH($AA491,'International Financials'!$A:$A,0),MATCH(AD490,'International Financials'!$1:$1,0)),"")</f>
        <v>10978.906325333694</v>
      </c>
      <c r="AE491" s="317">
        <f>IFERROR(INDEX('International Financials'!$A:$ABB,MATCH($AA491,'International Financials'!$A:$A,0),MATCH(AE490,'International Financials'!$1:$1,0)),"")</f>
        <v>11183.843825333694</v>
      </c>
      <c r="AF491" s="317">
        <f>IFERROR(INDEX('International Financials'!$A:$ABB,MATCH($AA491,'International Financials'!$A:$A,0),MATCH(AF490,'International Financials'!$1:$1,0)),"")</f>
        <v>11970.148645833333</v>
      </c>
      <c r="AG491" s="317">
        <f>IFERROR(INDEX('International Financials'!$A:$ABB,MATCH($AA491,'International Financials'!$A:$A,0),MATCH(AG490,'International Financials'!$1:$1,0)),"")</f>
        <v>11357.231770833334</v>
      </c>
      <c r="AH491" s="317">
        <f>IFERROR(INDEX('International Financials'!$A:$ABB,MATCH($AA491,'International Financials'!$A:$A,0),MATCH(AH490,'International Financials'!$1:$1,0)),"")</f>
        <v>12054.954895833334</v>
      </c>
      <c r="AI491" s="317">
        <f>IFERROR(INDEX('International Financials'!$A:$ABB,MATCH($AA491,'International Financials'!$A:$A,0),MATCH(AI490,'International Financials'!$1:$1,0)),"")</f>
        <v>11847.297741952716</v>
      </c>
      <c r="AJ491" s="317">
        <f>IFERROR(INDEX('International Financials'!$A:$ABB,MATCH($AA491,'International Financials'!$A:$A,0),MATCH(AJ490,'International Financials'!$1:$1,0)),"")</f>
        <v>11883.061491952716</v>
      </c>
      <c r="AK491" s="317">
        <f>IFERROR(INDEX('International Financials'!$A:$ABB,MATCH($AA491,'International Financials'!$A:$A,0),MATCH(AK490,'International Financials'!$1:$1,0)),"")</f>
        <v>12222.687662174414</v>
      </c>
      <c r="AL491" s="317">
        <f>IFERROR(INDEX('International Financials'!$A:$ABB,MATCH($AA491,'International Financials'!$A:$A,0),MATCH(AL490,'International Financials'!$1:$1,0)),"")</f>
        <v>12994.105787174412</v>
      </c>
      <c r="AM491" s="317">
        <f>IFERROR(INDEX('International Financials'!$A:$ABB,MATCH($AA491,'International Financials'!$A:$A,0),MATCH(AM490,'International Financials'!$1:$1,0)),"")</f>
        <v>13790.325441055031</v>
      </c>
      <c r="AN491" s="317">
        <f>IFERROR(INDEX('International Financials'!$A:$ABB,MATCH($AA491,'International Financials'!$A:$A,0),MATCH(AN490,'International Financials'!$1:$1,0)),"")</f>
        <v>13318.368157721698</v>
      </c>
      <c r="AO491" s="317">
        <f>IFERROR(INDEX('International Financials'!$A:$ABB,MATCH($AA491,'International Financials'!$A:$A,0),MATCH(AO490,'International Financials'!$1:$1,0)),"")</f>
        <v>15100.1588625</v>
      </c>
      <c r="AP491" s="317">
        <f>IFERROR(INDEX('International Financials'!$A:$ABB,MATCH($AA491,'International Financials'!$A:$A,0),MATCH(AP490,'International Financials'!$1:$1,0)),"")</f>
        <v>15255.762112500001</v>
      </c>
      <c r="AQ491" s="317">
        <f>IFERROR(INDEX('International Financials'!$A:$ABB,MATCH($AA491,'International Financials'!$A:$A,0),MATCH(AQ490,'International Financials'!$1:$1,0)),"")</f>
        <v>15427.722820833334</v>
      </c>
      <c r="AR491" s="317">
        <f>IFERROR(INDEX('International Financials'!$A:$ABB,MATCH($AA491,'International Financials'!$A:$A,0),MATCH(AR490,'International Financials'!$1:$1,0)),"")</f>
        <v>16194.810762500001</v>
      </c>
      <c r="AS491" s="317">
        <f>IFERROR(INDEX('International Financials'!$A:$ABB,MATCH($AA491,'International Financials'!$A:$A,0),MATCH(AS490,'International Financials'!$1:$1,0)),"")</f>
        <v>15257.103275000001</v>
      </c>
      <c r="AT491" s="317">
        <f>IFERROR(INDEX('International Financials'!$A:$ABB,MATCH($AA491,'International Financials'!$A:$A,0),MATCH(AT490,'International Financials'!$1:$1,0)),"")</f>
        <v>15444.886237500003</v>
      </c>
      <c r="AU491" s="317">
        <f>IFERROR(INDEX('International Financials'!$A:$ABB,MATCH($AA491,'International Financials'!$A:$A,0),MATCH(AU490,'International Financials'!$1:$1,0)),"")</f>
        <v>15435.491270833334</v>
      </c>
    </row>
    <row r="492" spans="1:47">
      <c r="A492" s="49"/>
      <c r="B492" s="49"/>
      <c r="C492" s="49"/>
      <c r="D492" s="49"/>
      <c r="E492" s="49"/>
      <c r="F492" s="49"/>
      <c r="G492" s="49"/>
      <c r="H492" s="49"/>
      <c r="I492" s="49"/>
      <c r="J492" s="49"/>
      <c r="K492" s="49"/>
      <c r="L492" s="49"/>
      <c r="M492" s="49"/>
      <c r="N492" s="49"/>
      <c r="O492" s="49"/>
      <c r="P492" s="49"/>
      <c r="Q492" s="49"/>
      <c r="R492" s="49"/>
      <c r="S492" s="49"/>
      <c r="T492" s="49"/>
      <c r="U492" s="49"/>
      <c r="V492" s="49"/>
      <c r="W492" s="49"/>
    </row>
    <row r="493" spans="1:47">
      <c r="A493" s="49"/>
      <c r="B493" s="49"/>
      <c r="C493" s="49"/>
      <c r="D493" s="49"/>
      <c r="E493" s="49"/>
      <c r="F493" s="49"/>
      <c r="G493" s="49"/>
      <c r="H493" s="49"/>
      <c r="I493" s="49"/>
      <c r="J493" s="49"/>
      <c r="K493" s="49"/>
      <c r="L493" s="49"/>
      <c r="M493" s="49"/>
      <c r="N493" s="49"/>
      <c r="O493" s="49"/>
      <c r="P493" s="49"/>
      <c r="Q493" s="49"/>
      <c r="R493" s="49"/>
      <c r="S493" s="49"/>
      <c r="T493" s="49"/>
      <c r="U493" s="49"/>
      <c r="V493" s="49"/>
      <c r="W493" s="49"/>
    </row>
    <row r="494" spans="1:47">
      <c r="A494" s="49"/>
      <c r="B494" s="49"/>
      <c r="C494" s="49"/>
      <c r="D494" s="49"/>
      <c r="E494" s="49"/>
      <c r="F494" s="49"/>
      <c r="G494" s="49"/>
      <c r="H494" s="49"/>
      <c r="I494" s="49"/>
      <c r="J494" s="49"/>
      <c r="K494" s="49"/>
      <c r="L494" s="49"/>
      <c r="M494" s="49"/>
      <c r="N494" s="49"/>
      <c r="O494" s="49"/>
      <c r="P494" s="49"/>
      <c r="Q494" s="49"/>
      <c r="R494" s="49"/>
      <c r="S494" s="49"/>
      <c r="T494" s="49"/>
      <c r="U494" s="49"/>
      <c r="V494" s="49"/>
      <c r="W494" s="49"/>
    </row>
    <row r="495" spans="1:47">
      <c r="A495" s="49"/>
      <c r="B495" s="49"/>
      <c r="C495" s="49"/>
      <c r="D495" s="49"/>
      <c r="E495" s="49"/>
      <c r="F495" s="49"/>
      <c r="G495" s="49"/>
      <c r="H495" s="49"/>
      <c r="I495" s="49"/>
      <c r="J495" s="49"/>
      <c r="K495" s="49"/>
      <c r="L495" s="49"/>
      <c r="M495" s="49"/>
      <c r="N495" s="49"/>
      <c r="O495" s="49"/>
      <c r="P495" s="49"/>
      <c r="Q495" s="49"/>
      <c r="R495" s="49"/>
      <c r="S495" s="49"/>
      <c r="T495" s="49"/>
      <c r="U495" s="49"/>
      <c r="V495" s="49"/>
      <c r="W495" s="49"/>
    </row>
    <row r="496" spans="1:47">
      <c r="A496" s="49"/>
      <c r="B496" s="49"/>
      <c r="C496" s="49"/>
      <c r="D496" s="49"/>
      <c r="E496" s="49"/>
      <c r="F496" s="49"/>
      <c r="G496" s="49"/>
      <c r="H496" s="49"/>
      <c r="I496" s="49"/>
      <c r="J496" s="49"/>
      <c r="K496" s="49"/>
      <c r="L496" s="49"/>
      <c r="M496" s="49"/>
      <c r="N496" s="49"/>
      <c r="O496" s="49"/>
      <c r="P496" s="49"/>
      <c r="Q496" s="49"/>
      <c r="R496" s="49"/>
      <c r="S496" s="49"/>
      <c r="T496" s="49"/>
      <c r="U496" s="49"/>
      <c r="V496" s="49"/>
      <c r="W496" s="49"/>
    </row>
    <row r="497" spans="1:47">
      <c r="A497" s="49"/>
      <c r="B497" s="49"/>
      <c r="C497" s="49"/>
      <c r="D497" s="49"/>
      <c r="E497" s="49"/>
      <c r="F497" s="49"/>
      <c r="G497" s="49"/>
      <c r="H497" s="49"/>
      <c r="I497" s="49"/>
      <c r="J497" s="49"/>
      <c r="K497" s="49"/>
      <c r="L497" s="49"/>
      <c r="M497" s="49"/>
      <c r="N497" s="49"/>
      <c r="O497" s="49"/>
      <c r="P497" s="49"/>
      <c r="Q497" s="49"/>
      <c r="R497" s="49"/>
      <c r="S497" s="49"/>
      <c r="T497" s="49"/>
      <c r="U497" s="49"/>
      <c r="V497" s="49"/>
      <c r="W497" s="49"/>
    </row>
    <row r="498" spans="1:47">
      <c r="A498" s="49"/>
      <c r="B498" s="49"/>
      <c r="C498" s="49"/>
      <c r="D498" s="49"/>
      <c r="E498" s="49"/>
      <c r="F498" s="49"/>
      <c r="G498" s="49"/>
      <c r="H498" s="49"/>
      <c r="I498" s="49"/>
      <c r="J498" s="49"/>
      <c r="K498" s="49"/>
      <c r="L498" s="49"/>
      <c r="M498" s="49"/>
      <c r="N498" s="49"/>
      <c r="O498" s="49"/>
      <c r="P498" s="49"/>
      <c r="Q498" s="49"/>
      <c r="R498" s="49"/>
      <c r="S498" s="49"/>
      <c r="T498" s="49"/>
      <c r="U498" s="49"/>
      <c r="V498" s="49"/>
      <c r="W498" s="49"/>
    </row>
    <row r="499" spans="1:47">
      <c r="A499" s="49"/>
      <c r="B499" s="49"/>
      <c r="C499" s="49"/>
      <c r="D499" s="49"/>
      <c r="E499" s="49"/>
      <c r="F499" s="49"/>
      <c r="G499" s="49"/>
      <c r="H499" s="49"/>
      <c r="I499" s="49"/>
      <c r="J499" s="49"/>
      <c r="K499" s="49"/>
      <c r="L499" s="49"/>
      <c r="M499" s="49"/>
      <c r="N499" s="49"/>
      <c r="O499" s="49"/>
      <c r="P499" s="49"/>
      <c r="Q499" s="49"/>
      <c r="R499" s="49"/>
      <c r="S499" s="49"/>
      <c r="T499" s="49"/>
      <c r="U499" s="49"/>
      <c r="V499" s="49"/>
      <c r="W499" s="49"/>
    </row>
    <row r="500" spans="1:47">
      <c r="A500" s="1" t="s">
        <v>452</v>
      </c>
      <c r="B500" s="1" t="s">
        <v>550</v>
      </c>
      <c r="C500" s="1"/>
      <c r="D500" s="1"/>
      <c r="E500" s="1"/>
      <c r="F500" s="1"/>
      <c r="G500" s="1"/>
      <c r="H500" s="1"/>
      <c r="I500" s="1"/>
      <c r="J500" s="1"/>
      <c r="K500" s="1"/>
      <c r="L500" s="1"/>
      <c r="M500" s="1"/>
      <c r="N500" s="1"/>
      <c r="O500" s="1"/>
      <c r="P500" s="1"/>
      <c r="Q500" s="1"/>
      <c r="R500" s="1"/>
      <c r="S500" s="1"/>
      <c r="T500" s="1"/>
      <c r="U500" s="49"/>
      <c r="V500" s="49"/>
      <c r="W500" s="49"/>
    </row>
    <row r="501" spans="1:47">
      <c r="A501" s="49"/>
      <c r="B501" s="49"/>
      <c r="C501" s="49"/>
      <c r="D501" s="49"/>
      <c r="E501" s="49"/>
      <c r="F501" s="49"/>
      <c r="G501" s="49"/>
      <c r="H501" s="49"/>
      <c r="I501" s="49"/>
      <c r="J501" s="49"/>
      <c r="K501" s="49"/>
      <c r="L501" s="49"/>
      <c r="M501" s="49"/>
      <c r="N501" s="49"/>
      <c r="O501" s="49"/>
      <c r="P501" s="49"/>
      <c r="Q501" s="49"/>
      <c r="R501" s="49"/>
      <c r="S501" s="49"/>
      <c r="T501" s="49"/>
      <c r="U501" s="49"/>
      <c r="V501" s="49"/>
      <c r="W501" s="49"/>
    </row>
    <row r="502" spans="1:47">
      <c r="A502" s="49"/>
      <c r="B502" s="49"/>
      <c r="C502" s="49"/>
      <c r="D502" s="49"/>
      <c r="E502" s="49"/>
      <c r="F502" s="49"/>
      <c r="G502" s="49"/>
      <c r="H502" s="49"/>
      <c r="I502" s="49"/>
      <c r="J502" s="49"/>
      <c r="K502" s="49"/>
      <c r="L502" s="49"/>
      <c r="M502" s="49"/>
      <c r="N502" s="49"/>
      <c r="O502" s="49"/>
      <c r="P502" s="49"/>
      <c r="Q502" s="49"/>
      <c r="R502" s="49"/>
      <c r="S502" s="49"/>
      <c r="T502" s="49"/>
      <c r="U502" s="49"/>
      <c r="V502" s="49"/>
      <c r="W502" s="49"/>
    </row>
    <row r="503" spans="1:47">
      <c r="A503" s="49"/>
      <c r="B503" s="49"/>
      <c r="C503" s="49"/>
      <c r="D503" s="49"/>
      <c r="E503" s="49"/>
      <c r="F503" s="49"/>
      <c r="G503" s="49"/>
      <c r="H503" s="49"/>
      <c r="I503" s="49"/>
      <c r="J503" s="49"/>
      <c r="K503" s="49"/>
      <c r="L503" s="49"/>
      <c r="M503" s="49"/>
      <c r="N503" s="49"/>
      <c r="O503" s="49"/>
      <c r="P503" s="49"/>
      <c r="Q503" s="49"/>
      <c r="R503" s="49"/>
      <c r="S503" s="49"/>
      <c r="T503" s="49"/>
      <c r="U503" s="49"/>
      <c r="V503" s="49"/>
      <c r="W503" s="49"/>
      <c r="AB503" s="303">
        <f t="shared" ref="AB503" si="780">AC503-1</f>
        <v>35</v>
      </c>
      <c r="AC503" s="303">
        <f t="shared" ref="AC503" si="781">AD503-1</f>
        <v>36</v>
      </c>
      <c r="AD503" s="303">
        <f t="shared" ref="AD503" si="782">AE503-1</f>
        <v>37</v>
      </c>
      <c r="AE503" s="303">
        <f t="shared" ref="AE503" si="783">AF503-1</f>
        <v>38</v>
      </c>
      <c r="AF503" s="303">
        <f t="shared" ref="AF503" si="784">AG503-1</f>
        <v>39</v>
      </c>
      <c r="AG503" s="303">
        <f t="shared" ref="AG503" si="785">AH503-1</f>
        <v>40</v>
      </c>
      <c r="AH503" s="303">
        <f t="shared" ref="AH503" si="786">AI503-1</f>
        <v>41</v>
      </c>
      <c r="AI503" s="303">
        <f t="shared" ref="AI503" si="787">AJ503-1</f>
        <v>42</v>
      </c>
      <c r="AJ503" s="303">
        <f t="shared" ref="AJ503" si="788">AK503-1</f>
        <v>43</v>
      </c>
      <c r="AK503" s="303">
        <f t="shared" ref="AK503" si="789">AL503-1</f>
        <v>44</v>
      </c>
      <c r="AL503" s="303">
        <f t="shared" ref="AL503" si="790">AM503-1</f>
        <v>45</v>
      </c>
      <c r="AM503" s="303">
        <f t="shared" ref="AM503" si="791">AN503-1</f>
        <v>46</v>
      </c>
      <c r="AN503" s="303">
        <f t="shared" ref="AN503" si="792">AO503-1</f>
        <v>47</v>
      </c>
      <c r="AO503" s="303">
        <f t="shared" ref="AO503" si="793">AP503-1</f>
        <v>48</v>
      </c>
      <c r="AP503" s="303">
        <f t="shared" ref="AP503" si="794">AQ503-1</f>
        <v>49</v>
      </c>
      <c r="AQ503" s="303">
        <f t="shared" ref="AQ503" si="795">AR503-1</f>
        <v>50</v>
      </c>
      <c r="AR503" s="303">
        <f t="shared" ref="AR503" si="796">AS503-1</f>
        <v>51</v>
      </c>
      <c r="AS503" s="303">
        <f t="shared" ref="AS503" si="797">AT503-1</f>
        <v>52</v>
      </c>
      <c r="AT503" s="303">
        <f t="shared" ref="AT503" si="798">AU503-1</f>
        <v>53</v>
      </c>
      <c r="AU503" s="303">
        <f>VLOOKUP(AU504,Dates!$A:$D,2,FALSE)</f>
        <v>54</v>
      </c>
    </row>
    <row r="504" spans="1:47">
      <c r="A504" s="49"/>
      <c r="B504" s="49"/>
      <c r="C504" s="49"/>
      <c r="D504" s="49"/>
      <c r="E504" s="49"/>
      <c r="F504" s="49"/>
      <c r="G504" s="49"/>
      <c r="H504" s="49"/>
      <c r="I504" s="49"/>
      <c r="J504" s="49"/>
      <c r="K504" s="49"/>
      <c r="L504" s="49"/>
      <c r="M504" s="49"/>
      <c r="N504" s="49"/>
      <c r="O504" s="49"/>
      <c r="P504" s="49"/>
      <c r="Q504" s="49"/>
      <c r="R504" s="49"/>
      <c r="S504" s="49"/>
      <c r="T504" s="49"/>
      <c r="U504" s="49"/>
      <c r="V504" s="49"/>
      <c r="W504" s="49"/>
      <c r="AB504" s="303" t="str">
        <f>IFERROR(VLOOKUP(AB503,Dates!$B:$D,3,FALSE),"")</f>
        <v>3Q20</v>
      </c>
      <c r="AC504" s="303" t="str">
        <f>IFERROR(VLOOKUP(AC503,Dates!$B:$D,3,FALSE),"")</f>
        <v>4Q20</v>
      </c>
      <c r="AD504" s="303" t="str">
        <f>IFERROR(VLOOKUP(AD503,Dates!$B:$D,3,FALSE),"")</f>
        <v>1Q21</v>
      </c>
      <c r="AE504" s="303" t="str">
        <f>IFERROR(VLOOKUP(AE503,Dates!$B:$D,3,FALSE),"")</f>
        <v>2Q21</v>
      </c>
      <c r="AF504" s="303" t="str">
        <f>IFERROR(VLOOKUP(AF503,Dates!$B:$D,3,FALSE),"")</f>
        <v>3Q21</v>
      </c>
      <c r="AG504" s="303" t="str">
        <f>IFERROR(VLOOKUP(AG503,Dates!$B:$D,3,FALSE),"")</f>
        <v>4Q21</v>
      </c>
      <c r="AH504" s="303" t="str">
        <f>IFERROR(VLOOKUP(AH503,Dates!$B:$D,3,FALSE),"")</f>
        <v>1Q22</v>
      </c>
      <c r="AI504" s="303" t="str">
        <f>IFERROR(VLOOKUP(AI503,Dates!$B:$D,3,FALSE),"")</f>
        <v>2Q22</v>
      </c>
      <c r="AJ504" s="303" t="str">
        <f>IFERROR(VLOOKUP(AJ503,Dates!$B:$D,3,FALSE),"")</f>
        <v>3Q22</v>
      </c>
      <c r="AK504" s="303" t="str">
        <f>IFERROR(VLOOKUP(AK503,Dates!$B:$D,3,FALSE),"")</f>
        <v>4Q22</v>
      </c>
      <c r="AL504" s="303" t="str">
        <f>IFERROR(VLOOKUP(AL503,Dates!$B:$D,3,FALSE),"")</f>
        <v>1Q23</v>
      </c>
      <c r="AM504" s="303" t="str">
        <f>IFERROR(VLOOKUP(AM503,Dates!$B:$D,3,FALSE),"")</f>
        <v>2Q23</v>
      </c>
      <c r="AN504" s="303" t="str">
        <f>IFERROR(VLOOKUP(AN503,Dates!$B:$D,3,FALSE),"")</f>
        <v>3Q23</v>
      </c>
      <c r="AO504" s="303" t="str">
        <f>IFERROR(VLOOKUP(AO503,Dates!$B:$D,3,FALSE),"")</f>
        <v>4Q23</v>
      </c>
      <c r="AP504" s="303" t="str">
        <f>IFERROR(VLOOKUP(AP503,Dates!$B:$D,3,FALSE),"")</f>
        <v>1Q24</v>
      </c>
      <c r="AQ504" s="303" t="str">
        <f>IFERROR(VLOOKUP(AQ503,Dates!$B:$D,3,FALSE),"")</f>
        <v>2Q24</v>
      </c>
      <c r="AR504" s="303" t="str">
        <f>IFERROR(VLOOKUP(AR503,Dates!$B:$D,3,FALSE),"")</f>
        <v>3Q24</v>
      </c>
      <c r="AS504" s="303" t="str">
        <f>IFERROR(VLOOKUP(AS503,Dates!$B:$D,3,FALSE),"")</f>
        <v>4Q24</v>
      </c>
      <c r="AT504" s="303" t="str">
        <f>IFERROR(VLOOKUP(AT503,Dates!$B:$D,3,FALSE),"")</f>
        <v>1Q25</v>
      </c>
      <c r="AU504" s="315" t="str">
        <f>$G$3</f>
        <v>2Q25</v>
      </c>
    </row>
    <row r="505" spans="1:47">
      <c r="A505" s="49"/>
      <c r="B505" s="49"/>
      <c r="C505" s="49"/>
      <c r="D505" s="49"/>
      <c r="E505" s="49"/>
      <c r="F505" s="49"/>
      <c r="G505" s="49"/>
      <c r="H505" s="49"/>
      <c r="I505" s="49"/>
      <c r="J505" s="49"/>
      <c r="K505" s="49"/>
      <c r="L505" s="49"/>
      <c r="M505" s="49"/>
      <c r="N505" s="49"/>
      <c r="O505" s="49"/>
      <c r="P505" s="49"/>
      <c r="Q505" s="49"/>
      <c r="R505" s="49"/>
      <c r="S505" s="49"/>
      <c r="T505" s="49"/>
      <c r="U505" s="49"/>
      <c r="V505" s="49"/>
      <c r="W505" s="49"/>
      <c r="AA505" s="316" t="str">
        <f>'International Financials'!A102</f>
        <v>Cumulative investments.</v>
      </c>
      <c r="AB505" s="317">
        <f>IFERROR(INDEX('International Financials'!$A:$ABB,MATCH($AA505,'International Financials'!$A:$A,0),MATCH(AB504,'International Financials'!$1:$1,0)),"")</f>
        <v>606433.83880473906</v>
      </c>
      <c r="AC505" s="317">
        <f>IFERROR(INDEX('International Financials'!$A:$ABB,MATCH($AA505,'International Financials'!$A:$A,0),MATCH(AC504,'International Financials'!$1:$1,0)),"")</f>
        <v>626556</v>
      </c>
      <c r="AD505" s="317">
        <f>IFERROR(INDEX('International Financials'!$A:$ABB,MATCH($AA505,'International Financials'!$A:$A,0),MATCH(AD504,'International Financials'!$1:$1,0)),"")</f>
        <v>630102.67843688896</v>
      </c>
      <c r="AE505" s="317">
        <f>IFERROR(INDEX('International Financials'!$A:$ABB,MATCH($AA505,'International Financials'!$A:$A,0),MATCH(AE504,'International Financials'!$1:$1,0)),"")</f>
        <v>637823.65140328917</v>
      </c>
      <c r="AF505" s="317">
        <f>IFERROR(INDEX('International Financials'!$A:$ABB,MATCH($AA505,'International Financials'!$A:$A,0),MATCH(AF504,'International Financials'!$1:$1,0)),"")</f>
        <v>650293.56305231899</v>
      </c>
      <c r="AG505" s="317">
        <f>IFERROR(INDEX('International Financials'!$A:$ABB,MATCH($AA505,'International Financials'!$A:$A,0),MATCH(AG504,'International Financials'!$1:$1,0)),"")</f>
        <v>654288.55813338305</v>
      </c>
      <c r="AH505" s="317">
        <f>IFERROR(INDEX('International Financials'!$A:$ABB,MATCH($AA505,'International Financials'!$A:$A,0),MATCH(AH504,'International Financials'!$1:$1,0)),"")</f>
        <v>659232.22592186788</v>
      </c>
      <c r="AI505" s="317">
        <f>IFERROR(INDEX('International Financials'!$A:$ABB,MATCH($AA505,'International Financials'!$A:$A,0),MATCH(AI504,'International Financials'!$1:$1,0)),"")</f>
        <v>669934.40687324293</v>
      </c>
      <c r="AJ505" s="317">
        <f>IFERROR(INDEX('International Financials'!$A:$ABB,MATCH($AA505,'International Financials'!$A:$A,0),MATCH(AJ504,'International Financials'!$1:$1,0)),"")</f>
        <v>670024.65129670093</v>
      </c>
      <c r="AK505" s="317">
        <f>IFERROR(INDEX('International Financials'!$A:$ABB,MATCH($AA505,'International Financials'!$A:$A,0),MATCH(AK504,'International Financials'!$1:$1,0)),"")</f>
        <v>692624.02579770295</v>
      </c>
      <c r="AL505" s="317">
        <f>IFERROR(INDEX('International Financials'!$A:$ABB,MATCH($AA505,'International Financials'!$A:$A,0),MATCH(AL504,'International Financials'!$1:$1,0)),"")</f>
        <v>706046.63053100405</v>
      </c>
      <c r="AM505" s="317">
        <f>IFERROR(INDEX('International Financials'!$A:$ABB,MATCH($AA505,'International Financials'!$A:$A,0),MATCH(AM504,'International Financials'!$1:$1,0)),"")</f>
        <v>719394</v>
      </c>
      <c r="AN505" s="317">
        <f>IFERROR(INDEX('International Financials'!$A:$ABB,MATCH($AA505,'International Financials'!$A:$A,0),MATCH(AN504,'International Financials'!$1:$1,0)),"")</f>
        <v>774270.26319682808</v>
      </c>
      <c r="AO505" s="317">
        <f>IFERROR(INDEX('International Financials'!$A:$ABB,MATCH($AA505,'International Financials'!$A:$A,0),MATCH(AO504,'International Financials'!$1:$1,0)),"")</f>
        <v>791587</v>
      </c>
      <c r="AP505" s="317">
        <f>IFERROR(INDEX('International Financials'!$A:$ABB,MATCH($AA505,'International Financials'!$A:$A,0),MATCH(AP504,'International Financials'!$1:$1,0)),"")</f>
        <v>664092.79058315803</v>
      </c>
      <c r="AQ505" s="317">
        <f>IFERROR(INDEX('International Financials'!$A:$ABB,MATCH($AA505,'International Financials'!$A:$A,0),MATCH(AQ504,'International Financials'!$1:$1,0)),"")</f>
        <v>654169.53784988401</v>
      </c>
      <c r="AR505" s="317">
        <f>IFERROR(INDEX('International Financials'!$A:$ABB,MATCH($AA505,'International Financials'!$A:$A,0),MATCH(AR504,'International Financials'!$1:$1,0)),"")</f>
        <v>613741.15145865106</v>
      </c>
      <c r="AS505" s="317">
        <f>IFERROR(INDEX('International Financials'!$A:$ABB,MATCH($AA505,'International Financials'!$A:$A,0),MATCH(AS504,'International Financials'!$1:$1,0)),"")</f>
        <v>589292.05753938889</v>
      </c>
      <c r="AT505" s="317">
        <f>IFERROR(INDEX('International Financials'!$A:$ABB,MATCH($AA505,'International Financials'!$A:$A,0),MATCH(AT504,'International Financials'!$1:$1,0)),"")</f>
        <v>598009.44432199991</v>
      </c>
      <c r="AU505" s="317">
        <f>IFERROR(INDEX('International Financials'!$A:$ABB,MATCH($AA505,'International Financials'!$A:$A,0),MATCH(AU504,'International Financials'!$1:$1,0)),"")</f>
        <v>601732.01513000007</v>
      </c>
    </row>
    <row r="506" spans="1:47">
      <c r="A506" s="49"/>
      <c r="B506" s="49"/>
      <c r="C506" s="49"/>
      <c r="D506" s="49"/>
      <c r="E506" s="49"/>
      <c r="F506" s="49"/>
      <c r="G506" s="49"/>
      <c r="H506" s="49"/>
      <c r="I506" s="49"/>
      <c r="J506" s="49"/>
      <c r="K506" s="49"/>
      <c r="L506" s="49"/>
      <c r="M506" s="49"/>
      <c r="N506" s="49"/>
      <c r="O506" s="49"/>
      <c r="P506" s="49"/>
      <c r="Q506" s="49"/>
      <c r="R506" s="49"/>
      <c r="S506" s="49"/>
      <c r="T506" s="49"/>
      <c r="U506" s="49"/>
      <c r="V506" s="49"/>
      <c r="W506" s="49"/>
    </row>
    <row r="507" spans="1:47">
      <c r="A507" s="49"/>
      <c r="B507" s="49"/>
      <c r="C507" s="49"/>
      <c r="D507" s="49"/>
      <c r="E507" s="49"/>
      <c r="F507" s="49"/>
      <c r="G507" s="49"/>
      <c r="H507" s="49"/>
      <c r="I507" s="49"/>
      <c r="J507" s="49"/>
      <c r="K507" s="49"/>
      <c r="L507" s="49"/>
      <c r="M507" s="49"/>
      <c r="N507" s="49"/>
      <c r="O507" s="49"/>
      <c r="P507" s="49"/>
      <c r="Q507" s="49"/>
      <c r="R507" s="49"/>
      <c r="S507" s="49"/>
      <c r="T507" s="49"/>
      <c r="U507" s="49"/>
      <c r="V507" s="49"/>
      <c r="W507" s="49"/>
    </row>
    <row r="508" spans="1:47">
      <c r="A508" s="49"/>
      <c r="B508" s="49"/>
      <c r="C508" s="49"/>
      <c r="D508" s="49"/>
      <c r="E508" s="49"/>
      <c r="F508" s="49"/>
      <c r="G508" s="49"/>
      <c r="H508" s="49"/>
      <c r="I508" s="49"/>
      <c r="J508" s="49"/>
      <c r="K508" s="49"/>
      <c r="L508" s="49"/>
      <c r="M508" s="49"/>
      <c r="N508" s="49"/>
      <c r="O508" s="49"/>
      <c r="P508" s="49"/>
      <c r="Q508" s="49"/>
      <c r="R508" s="49"/>
      <c r="S508" s="49"/>
      <c r="T508" s="49"/>
      <c r="U508" s="49"/>
      <c r="V508" s="49"/>
      <c r="W508" s="49"/>
    </row>
    <row r="509" spans="1:47">
      <c r="A509" s="49"/>
      <c r="B509" s="49"/>
      <c r="C509" s="49"/>
      <c r="D509" s="49"/>
      <c r="E509" s="49"/>
      <c r="F509" s="49"/>
      <c r="G509" s="49"/>
      <c r="H509" s="49"/>
      <c r="I509" s="49"/>
      <c r="J509" s="49"/>
      <c r="K509" s="49"/>
      <c r="L509" s="49"/>
      <c r="M509" s="49"/>
      <c r="N509" s="49"/>
      <c r="O509" s="49"/>
      <c r="P509" s="49"/>
      <c r="Q509" s="49"/>
      <c r="R509" s="49"/>
      <c r="S509" s="49"/>
      <c r="T509" s="49"/>
      <c r="U509" s="49"/>
      <c r="V509" s="49"/>
      <c r="W509" s="49"/>
    </row>
    <row r="510" spans="1:47">
      <c r="A510" s="49"/>
      <c r="B510" s="49"/>
      <c r="C510" s="49"/>
      <c r="D510" s="49"/>
      <c r="E510" s="49"/>
      <c r="F510" s="49"/>
      <c r="G510" s="49"/>
      <c r="H510" s="49"/>
      <c r="I510" s="49"/>
      <c r="J510" s="49"/>
      <c r="K510" s="49"/>
      <c r="L510" s="49"/>
      <c r="M510" s="49"/>
      <c r="N510" s="49"/>
      <c r="O510" s="49"/>
      <c r="P510" s="49"/>
      <c r="Q510" s="49"/>
      <c r="R510" s="49"/>
      <c r="S510" s="49"/>
      <c r="T510" s="49"/>
      <c r="U510" s="49"/>
      <c r="V510" s="49"/>
      <c r="W510" s="49"/>
    </row>
    <row r="511" spans="1:47">
      <c r="A511" s="49"/>
      <c r="B511" s="49"/>
      <c r="C511" s="49"/>
      <c r="D511" s="49"/>
      <c r="E511" s="49"/>
      <c r="F511" s="49"/>
      <c r="G511" s="49"/>
      <c r="H511" s="49"/>
      <c r="I511" s="49"/>
      <c r="J511" s="49"/>
      <c r="K511" s="49"/>
      <c r="L511" s="49"/>
      <c r="M511" s="49"/>
      <c r="N511" s="49"/>
      <c r="O511" s="49"/>
      <c r="P511" s="49"/>
      <c r="Q511" s="49"/>
      <c r="R511" s="49"/>
      <c r="S511" s="49"/>
      <c r="T511" s="49"/>
      <c r="U511" s="49"/>
      <c r="V511" s="49"/>
      <c r="W511" s="49"/>
    </row>
    <row r="512" spans="1:47">
      <c r="A512" s="49"/>
      <c r="B512" s="49"/>
      <c r="C512" s="49"/>
      <c r="D512" s="49"/>
      <c r="E512" s="49"/>
      <c r="F512" s="49"/>
      <c r="G512" s="49"/>
      <c r="H512" s="49"/>
      <c r="I512" s="49"/>
      <c r="J512" s="49"/>
      <c r="K512" s="49"/>
      <c r="L512" s="49"/>
      <c r="M512" s="49"/>
      <c r="N512" s="49"/>
      <c r="O512" s="49"/>
      <c r="P512" s="49"/>
      <c r="Q512" s="49"/>
      <c r="R512" s="49"/>
      <c r="S512" s="49"/>
      <c r="T512" s="49"/>
      <c r="U512" s="49"/>
      <c r="V512" s="49"/>
      <c r="W512" s="49"/>
    </row>
    <row r="513" spans="1:23">
      <c r="A513" s="49"/>
      <c r="B513" s="49"/>
      <c r="C513" s="49"/>
      <c r="D513" s="49"/>
      <c r="E513" s="49"/>
      <c r="F513" s="49"/>
      <c r="G513" s="49"/>
      <c r="H513" s="49"/>
      <c r="I513" s="49"/>
      <c r="J513" s="49"/>
      <c r="K513" s="49"/>
      <c r="L513" s="49"/>
      <c r="M513" s="49"/>
      <c r="N513" s="49"/>
      <c r="O513" s="49"/>
      <c r="P513" s="49"/>
      <c r="Q513" s="49"/>
      <c r="R513" s="49"/>
      <c r="S513" s="49"/>
      <c r="T513" s="49"/>
      <c r="U513" s="49"/>
      <c r="V513" s="49"/>
      <c r="W513" s="49"/>
    </row>
    <row r="514" spans="1:23">
      <c r="A514" s="49"/>
      <c r="B514" s="49"/>
      <c r="C514" s="49"/>
      <c r="D514" s="49"/>
      <c r="E514" s="49"/>
      <c r="F514" s="49"/>
      <c r="G514" s="49"/>
      <c r="H514" s="49"/>
      <c r="I514" s="49"/>
      <c r="J514" s="49"/>
      <c r="K514" s="49"/>
      <c r="L514" s="49"/>
      <c r="M514" s="49"/>
      <c r="N514" s="49"/>
      <c r="O514" s="49"/>
      <c r="P514" s="49"/>
      <c r="Q514" s="49"/>
      <c r="R514" s="49"/>
      <c r="S514" s="49"/>
      <c r="T514" s="49"/>
      <c r="U514" s="49"/>
      <c r="V514" s="49"/>
      <c r="W514" s="49"/>
    </row>
    <row r="515" spans="1:23">
      <c r="A515" s="49"/>
      <c r="B515" s="49"/>
      <c r="C515" s="49"/>
      <c r="D515" s="49"/>
      <c r="E515" s="49"/>
      <c r="F515" s="49"/>
      <c r="G515" s="49"/>
      <c r="H515" s="49"/>
      <c r="I515" s="49"/>
      <c r="J515" s="49"/>
      <c r="K515" s="49"/>
      <c r="L515" s="49"/>
      <c r="M515" s="49"/>
      <c r="N515" s="49"/>
      <c r="O515" s="49"/>
      <c r="P515" s="49"/>
      <c r="Q515" s="49"/>
      <c r="R515" s="49"/>
      <c r="S515" s="49"/>
      <c r="T515" s="49"/>
      <c r="U515" s="49"/>
      <c r="V515" s="49"/>
      <c r="W515" s="49"/>
    </row>
    <row r="516" spans="1:23">
      <c r="A516" s="49"/>
      <c r="B516" s="49"/>
      <c r="C516" s="49"/>
      <c r="D516" s="49"/>
      <c r="E516" s="49"/>
      <c r="F516" s="49"/>
      <c r="G516" s="49"/>
      <c r="H516" s="49"/>
      <c r="I516" s="49"/>
      <c r="J516" s="49"/>
      <c r="K516" s="49"/>
      <c r="L516" s="49"/>
      <c r="M516" s="49"/>
      <c r="N516" s="49"/>
      <c r="O516" s="49"/>
      <c r="P516" s="49"/>
      <c r="Q516" s="49"/>
      <c r="R516" s="49"/>
      <c r="S516" s="49"/>
      <c r="T516" s="49"/>
      <c r="U516" s="49"/>
      <c r="V516" s="49"/>
      <c r="W516" s="49"/>
    </row>
    <row r="517" spans="1:23">
      <c r="A517" s="49"/>
      <c r="B517" s="49"/>
      <c r="C517" s="49"/>
      <c r="D517" s="49"/>
      <c r="E517" s="49"/>
      <c r="F517" s="49"/>
      <c r="G517" s="49"/>
      <c r="H517" s="49"/>
      <c r="I517" s="49"/>
      <c r="J517" s="49"/>
      <c r="K517" s="49"/>
      <c r="L517" s="49"/>
      <c r="M517" s="49"/>
      <c r="N517" s="49"/>
      <c r="O517" s="49"/>
      <c r="P517" s="49"/>
      <c r="Q517" s="49"/>
      <c r="R517" s="49"/>
      <c r="S517" s="49"/>
      <c r="T517" s="49"/>
      <c r="U517" s="49"/>
      <c r="V517" s="49"/>
      <c r="W517" s="49"/>
    </row>
    <row r="518" spans="1:23">
      <c r="A518" s="49"/>
      <c r="B518" s="49"/>
      <c r="C518" s="49"/>
      <c r="D518" s="49"/>
      <c r="E518" s="49"/>
      <c r="F518" s="49"/>
      <c r="G518" s="49"/>
      <c r="H518" s="49"/>
      <c r="I518" s="49"/>
      <c r="J518" s="49"/>
      <c r="K518" s="49"/>
      <c r="L518" s="49"/>
      <c r="M518" s="49"/>
      <c r="N518" s="49"/>
      <c r="O518" s="49"/>
      <c r="P518" s="49"/>
      <c r="Q518" s="49"/>
      <c r="R518" s="49"/>
      <c r="S518" s="49"/>
      <c r="T518" s="49"/>
      <c r="U518" s="49"/>
      <c r="V518" s="49"/>
      <c r="W518" s="49"/>
    </row>
    <row r="519" spans="1:23">
      <c r="A519" s="49"/>
      <c r="B519" s="49"/>
      <c r="C519" s="49"/>
      <c r="D519" s="49"/>
      <c r="E519" s="49"/>
      <c r="F519" s="49"/>
      <c r="G519" s="49"/>
      <c r="H519" s="49"/>
      <c r="I519" s="49"/>
      <c r="J519" s="49"/>
      <c r="K519" s="49"/>
      <c r="L519" s="49"/>
      <c r="M519" s="49"/>
      <c r="N519" s="49"/>
      <c r="O519" s="49"/>
      <c r="P519" s="49"/>
      <c r="Q519" s="49"/>
      <c r="R519" s="49"/>
      <c r="S519" s="49"/>
      <c r="T519" s="49"/>
      <c r="U519" s="49"/>
      <c r="V519" s="49"/>
      <c r="W519" s="49"/>
    </row>
    <row r="520" spans="1:23">
      <c r="A520" s="49"/>
      <c r="B520" s="49"/>
      <c r="C520" s="49"/>
      <c r="D520" s="49"/>
      <c r="E520" s="49"/>
      <c r="F520" s="49"/>
      <c r="G520" s="49"/>
      <c r="H520" s="49"/>
      <c r="I520" s="49"/>
      <c r="J520" s="49"/>
      <c r="K520" s="49"/>
      <c r="L520" s="49"/>
      <c r="M520" s="49"/>
      <c r="N520" s="49"/>
      <c r="O520" s="49"/>
      <c r="P520" s="49"/>
      <c r="Q520" s="49"/>
      <c r="R520" s="49"/>
      <c r="S520" s="49"/>
      <c r="T520" s="49"/>
      <c r="U520" s="49"/>
      <c r="V520" s="49"/>
      <c r="W520" s="49"/>
    </row>
    <row r="521" spans="1:23">
      <c r="A521" s="49"/>
      <c r="B521" s="49"/>
      <c r="C521" s="49"/>
      <c r="D521" s="49"/>
      <c r="E521" s="49"/>
      <c r="F521" s="49"/>
      <c r="G521" s="49"/>
      <c r="H521" s="49"/>
      <c r="I521" s="49"/>
      <c r="J521" s="49"/>
      <c r="K521" s="49"/>
      <c r="L521" s="49"/>
      <c r="M521" s="49"/>
      <c r="N521" s="49"/>
      <c r="O521" s="49"/>
      <c r="P521" s="49"/>
      <c r="Q521" s="49"/>
      <c r="R521" s="49"/>
      <c r="S521" s="49"/>
      <c r="T521" s="49"/>
      <c r="U521" s="49"/>
      <c r="V521" s="49"/>
      <c r="W521" s="49"/>
    </row>
    <row r="522" spans="1:23">
      <c r="A522" s="49"/>
      <c r="B522" s="49"/>
      <c r="C522" s="49"/>
      <c r="D522" s="49"/>
      <c r="E522" s="49"/>
      <c r="F522" s="49"/>
      <c r="G522" s="49"/>
      <c r="H522" s="49"/>
      <c r="I522" s="49"/>
      <c r="J522" s="49"/>
      <c r="K522" s="49"/>
      <c r="L522" s="49"/>
      <c r="M522" s="49"/>
      <c r="N522" s="49"/>
      <c r="O522" s="49"/>
      <c r="P522" s="49"/>
      <c r="Q522" s="49"/>
      <c r="R522" s="49"/>
      <c r="S522" s="49"/>
      <c r="T522" s="49"/>
      <c r="U522" s="49"/>
      <c r="V522" s="49"/>
      <c r="W522" s="49"/>
    </row>
    <row r="523" spans="1:23">
      <c r="A523" s="49"/>
      <c r="B523" s="49"/>
      <c r="C523" s="49"/>
      <c r="D523" s="49"/>
      <c r="E523" s="49"/>
      <c r="F523" s="49"/>
      <c r="G523" s="49"/>
      <c r="H523" s="49"/>
      <c r="I523" s="49"/>
      <c r="J523" s="49"/>
      <c r="K523" s="49"/>
      <c r="L523" s="49"/>
      <c r="M523" s="49"/>
      <c r="N523" s="49"/>
      <c r="O523" s="49"/>
      <c r="P523" s="49"/>
      <c r="Q523" s="49"/>
      <c r="R523" s="49"/>
      <c r="S523" s="49"/>
      <c r="T523" s="49"/>
      <c r="U523" s="49"/>
      <c r="V523" s="49"/>
      <c r="W523" s="49"/>
    </row>
    <row r="524" spans="1:23">
      <c r="A524" s="49"/>
      <c r="B524" s="49"/>
      <c r="C524" s="49"/>
      <c r="D524" s="49"/>
      <c r="E524" s="49"/>
      <c r="F524" s="49"/>
      <c r="G524" s="49"/>
      <c r="H524" s="49"/>
      <c r="I524" s="49"/>
      <c r="J524" s="49"/>
      <c r="K524" s="49"/>
      <c r="L524" s="49"/>
      <c r="M524" s="49"/>
      <c r="N524" s="49"/>
      <c r="O524" s="49"/>
      <c r="P524" s="49"/>
      <c r="Q524" s="49"/>
      <c r="R524" s="49"/>
      <c r="S524" s="49"/>
      <c r="T524" s="49"/>
      <c r="U524" s="49"/>
      <c r="V524" s="49"/>
      <c r="W524" s="49"/>
    </row>
    <row r="525" spans="1:23">
      <c r="A525" s="49"/>
      <c r="B525" s="49"/>
      <c r="C525" s="49"/>
      <c r="D525" s="49"/>
      <c r="E525" s="49"/>
      <c r="F525" s="49"/>
      <c r="G525" s="49"/>
      <c r="H525" s="49"/>
      <c r="I525" s="49"/>
      <c r="J525" s="49"/>
      <c r="K525" s="49"/>
      <c r="L525" s="49"/>
      <c r="M525" s="49"/>
      <c r="N525" s="49"/>
      <c r="O525" s="49"/>
      <c r="P525" s="49"/>
      <c r="Q525" s="49"/>
      <c r="R525" s="49"/>
      <c r="S525" s="49"/>
      <c r="T525" s="49"/>
      <c r="U525" s="49"/>
      <c r="V525" s="49"/>
      <c r="W525" s="49"/>
    </row>
    <row r="526" spans="1:23">
      <c r="A526" s="49"/>
      <c r="B526" s="49"/>
      <c r="C526" s="49"/>
      <c r="D526" s="49"/>
      <c r="E526" s="49"/>
      <c r="F526" s="49"/>
      <c r="G526" s="49"/>
      <c r="H526" s="49"/>
      <c r="I526" s="49"/>
      <c r="J526" s="49"/>
      <c r="K526" s="49"/>
      <c r="L526" s="49"/>
      <c r="M526" s="49"/>
      <c r="N526" s="49"/>
      <c r="O526" s="49"/>
      <c r="P526" s="49"/>
      <c r="Q526" s="49"/>
      <c r="R526" s="49"/>
      <c r="S526" s="49"/>
      <c r="T526" s="49"/>
      <c r="U526" s="49"/>
      <c r="V526" s="49"/>
      <c r="W526" s="49"/>
    </row>
    <row r="527" spans="1:23">
      <c r="A527" s="49"/>
      <c r="B527" s="49"/>
      <c r="C527" s="49"/>
      <c r="D527" s="49"/>
      <c r="E527" s="49"/>
      <c r="F527" s="49"/>
      <c r="G527" s="49"/>
      <c r="H527" s="49"/>
      <c r="I527" s="49"/>
      <c r="J527" s="49"/>
      <c r="K527" s="49"/>
      <c r="L527" s="49"/>
      <c r="M527" s="49"/>
      <c r="N527" s="49"/>
      <c r="O527" s="49"/>
      <c r="P527" s="49"/>
      <c r="Q527" s="49"/>
      <c r="R527" s="49"/>
      <c r="S527" s="49"/>
      <c r="T527" s="49"/>
      <c r="U527" s="49"/>
      <c r="V527" s="49"/>
      <c r="W527" s="49"/>
    </row>
    <row r="528" spans="1:23">
      <c r="A528" s="49"/>
      <c r="B528" s="49"/>
      <c r="C528" s="49"/>
      <c r="D528" s="49"/>
      <c r="E528" s="49"/>
      <c r="F528" s="49"/>
      <c r="G528" s="49"/>
      <c r="H528" s="49"/>
      <c r="I528" s="49"/>
      <c r="J528" s="49"/>
      <c r="K528" s="49"/>
      <c r="L528" s="49"/>
      <c r="M528" s="49"/>
      <c r="N528" s="49"/>
      <c r="O528" s="49"/>
      <c r="P528" s="49"/>
      <c r="Q528" s="49"/>
      <c r="R528" s="49"/>
      <c r="S528" s="49"/>
      <c r="T528" s="49"/>
      <c r="U528" s="49"/>
      <c r="V528" s="49"/>
      <c r="W528" s="49"/>
    </row>
    <row r="529" spans="1:23">
      <c r="A529" s="49"/>
      <c r="B529" s="49"/>
      <c r="C529" s="49"/>
      <c r="D529" s="49"/>
      <c r="E529" s="49"/>
      <c r="F529" s="49"/>
      <c r="G529" s="49"/>
      <c r="H529" s="49"/>
      <c r="I529" s="49"/>
      <c r="J529" s="49"/>
      <c r="K529" s="49"/>
      <c r="L529" s="49"/>
      <c r="M529" s="49"/>
      <c r="N529" s="49"/>
      <c r="O529" s="49"/>
      <c r="P529" s="49"/>
      <c r="Q529" s="49"/>
      <c r="R529" s="49"/>
      <c r="S529" s="49"/>
      <c r="T529" s="49"/>
      <c r="U529" s="49"/>
      <c r="V529" s="49"/>
      <c r="W529" s="49"/>
    </row>
    <row r="530" spans="1:23">
      <c r="A530" s="49"/>
      <c r="B530" s="49"/>
      <c r="C530" s="49"/>
      <c r="D530" s="49"/>
      <c r="E530" s="49"/>
      <c r="F530" s="49"/>
      <c r="G530" s="49"/>
      <c r="H530" s="49"/>
      <c r="I530" s="49"/>
      <c r="J530" s="49"/>
      <c r="K530" s="49"/>
      <c r="L530" s="49"/>
      <c r="M530" s="49"/>
      <c r="N530" s="49"/>
      <c r="O530" s="49"/>
      <c r="P530" s="49"/>
      <c r="Q530" s="49"/>
      <c r="R530" s="49"/>
      <c r="S530" s="49"/>
      <c r="T530" s="49"/>
      <c r="U530" s="49"/>
      <c r="V530" s="49"/>
      <c r="W530" s="49"/>
    </row>
    <row r="531" spans="1:23">
      <c r="A531" s="49"/>
      <c r="B531" s="49"/>
      <c r="C531" s="49"/>
      <c r="D531" s="49"/>
      <c r="E531" s="49"/>
      <c r="F531" s="49"/>
      <c r="G531" s="49"/>
      <c r="H531" s="49"/>
      <c r="I531" s="49"/>
      <c r="J531" s="49"/>
      <c r="K531" s="49"/>
      <c r="L531" s="49"/>
      <c r="M531" s="49"/>
      <c r="N531" s="49"/>
      <c r="O531" s="49"/>
      <c r="P531" s="49"/>
      <c r="Q531" s="49"/>
      <c r="R531" s="49"/>
      <c r="S531" s="49"/>
      <c r="T531" s="49"/>
      <c r="U531" s="49"/>
      <c r="V531" s="49"/>
      <c r="W531" s="49"/>
    </row>
    <row r="532" spans="1:23">
      <c r="A532" s="49"/>
      <c r="B532" s="49"/>
      <c r="C532" s="49"/>
      <c r="D532" s="49"/>
      <c r="E532" s="49"/>
      <c r="F532" s="49"/>
      <c r="G532" s="49"/>
      <c r="H532" s="49"/>
      <c r="I532" s="49"/>
      <c r="J532" s="49"/>
      <c r="K532" s="49"/>
      <c r="L532" s="49"/>
      <c r="M532" s="49"/>
      <c r="N532" s="49"/>
      <c r="O532" s="49"/>
      <c r="P532" s="49"/>
      <c r="Q532" s="49"/>
      <c r="R532" s="49"/>
      <c r="S532" s="49"/>
      <c r="T532" s="49"/>
      <c r="U532" s="49"/>
      <c r="V532" s="49"/>
      <c r="W532" s="49"/>
    </row>
    <row r="533" spans="1:23">
      <c r="A533" s="49"/>
      <c r="B533" s="49"/>
      <c r="C533" s="49"/>
      <c r="D533" s="49"/>
      <c r="E533" s="49"/>
      <c r="F533" s="49"/>
      <c r="G533" s="49"/>
      <c r="H533" s="49"/>
      <c r="I533" s="49"/>
      <c r="J533" s="49"/>
      <c r="K533" s="49"/>
      <c r="L533" s="49"/>
      <c r="M533" s="49"/>
      <c r="N533" s="49"/>
      <c r="O533" s="49"/>
      <c r="P533" s="49"/>
      <c r="Q533" s="49"/>
      <c r="R533" s="49"/>
      <c r="S533" s="49"/>
      <c r="T533" s="49"/>
      <c r="U533" s="49"/>
      <c r="V533" s="49"/>
      <c r="W533" s="49"/>
    </row>
    <row r="534" spans="1:23">
      <c r="A534" s="49"/>
      <c r="B534" s="49"/>
      <c r="C534" s="49"/>
      <c r="D534" s="49"/>
      <c r="E534" s="49"/>
      <c r="F534" s="49"/>
      <c r="G534" s="49"/>
      <c r="H534" s="49"/>
      <c r="I534" s="49"/>
      <c r="J534" s="49"/>
      <c r="K534" s="49"/>
      <c r="L534" s="49"/>
      <c r="M534" s="49"/>
      <c r="N534" s="49"/>
      <c r="O534" s="49"/>
      <c r="P534" s="49"/>
      <c r="Q534" s="49"/>
      <c r="R534" s="49"/>
      <c r="S534" s="49"/>
      <c r="T534" s="49"/>
      <c r="U534" s="49"/>
      <c r="V534" s="49"/>
      <c r="W534" s="49"/>
    </row>
    <row r="535" spans="1:23">
      <c r="A535" s="49"/>
      <c r="B535" s="49"/>
      <c r="C535" s="49"/>
      <c r="D535" s="49"/>
      <c r="E535" s="49"/>
      <c r="F535" s="49"/>
      <c r="G535" s="49"/>
      <c r="H535" s="49"/>
      <c r="I535" s="49"/>
      <c r="J535" s="49"/>
      <c r="K535" s="49"/>
      <c r="L535" s="49"/>
      <c r="M535" s="49"/>
      <c r="N535" s="49"/>
      <c r="O535" s="49"/>
      <c r="P535" s="49"/>
      <c r="Q535" s="49"/>
      <c r="R535" s="49"/>
      <c r="S535" s="49"/>
      <c r="T535" s="49"/>
      <c r="U535" s="49"/>
      <c r="V535" s="49"/>
      <c r="W535" s="49"/>
    </row>
    <row r="536" spans="1:23">
      <c r="A536" s="49"/>
      <c r="B536" s="49"/>
      <c r="C536" s="49"/>
      <c r="D536" s="49"/>
      <c r="E536" s="49"/>
      <c r="F536" s="49"/>
      <c r="G536" s="49"/>
      <c r="H536" s="49"/>
      <c r="I536" s="49"/>
      <c r="J536" s="49"/>
      <c r="K536" s="49"/>
      <c r="L536" s="49"/>
      <c r="M536" s="49"/>
      <c r="N536" s="49"/>
      <c r="O536" s="49"/>
      <c r="P536" s="49"/>
      <c r="Q536" s="49"/>
      <c r="R536" s="49"/>
      <c r="S536" s="49"/>
      <c r="T536" s="49"/>
      <c r="U536" s="49"/>
      <c r="V536" s="49"/>
      <c r="W536" s="49"/>
    </row>
    <row r="537" spans="1:23">
      <c r="A537" s="49"/>
      <c r="B537" s="49"/>
      <c r="C537" s="49"/>
      <c r="D537" s="49"/>
      <c r="E537" s="49"/>
      <c r="F537" s="49"/>
      <c r="G537" s="49"/>
      <c r="H537" s="49"/>
      <c r="I537" s="49"/>
      <c r="J537" s="49"/>
      <c r="K537" s="49"/>
      <c r="L537" s="49"/>
      <c r="M537" s="49"/>
      <c r="N537" s="49"/>
      <c r="O537" s="49"/>
      <c r="P537" s="49"/>
      <c r="Q537" s="49"/>
      <c r="R537" s="49"/>
      <c r="S537" s="49"/>
      <c r="T537" s="49"/>
      <c r="U537" s="49"/>
      <c r="V537" s="49"/>
      <c r="W537" s="49"/>
    </row>
    <row r="538" spans="1:23">
      <c r="A538" s="49"/>
      <c r="B538" s="49"/>
      <c r="C538" s="49"/>
      <c r="D538" s="49"/>
      <c r="E538" s="49"/>
      <c r="F538" s="49"/>
      <c r="G538" s="49"/>
      <c r="H538" s="49"/>
      <c r="I538" s="49"/>
      <c r="J538" s="49"/>
      <c r="K538" s="49"/>
      <c r="L538" s="49"/>
      <c r="M538" s="49"/>
      <c r="N538" s="49"/>
      <c r="O538" s="49"/>
      <c r="P538" s="49"/>
      <c r="Q538" s="49"/>
      <c r="R538" s="49"/>
      <c r="S538" s="49"/>
      <c r="T538" s="49"/>
      <c r="U538" s="49"/>
      <c r="V538" s="49"/>
      <c r="W538" s="49"/>
    </row>
    <row r="539" spans="1:23">
      <c r="A539" s="49"/>
      <c r="B539" s="49"/>
      <c r="C539" s="49"/>
      <c r="D539" s="49"/>
      <c r="E539" s="49"/>
      <c r="F539" s="49"/>
      <c r="G539" s="49"/>
      <c r="H539" s="49"/>
      <c r="I539" s="49"/>
      <c r="J539" s="49"/>
      <c r="K539" s="49"/>
      <c r="L539" s="49"/>
      <c r="M539" s="49"/>
      <c r="N539" s="49"/>
      <c r="O539" s="49"/>
      <c r="P539" s="49"/>
      <c r="Q539" s="49"/>
      <c r="R539" s="49"/>
      <c r="S539" s="49"/>
      <c r="T539" s="49"/>
      <c r="U539" s="49"/>
      <c r="V539" s="49"/>
      <c r="W539" s="49"/>
    </row>
    <row r="540" spans="1:23">
      <c r="A540" s="49"/>
      <c r="B540" s="49"/>
      <c r="C540" s="49"/>
      <c r="D540" s="49"/>
      <c r="E540" s="49"/>
      <c r="F540" s="49"/>
      <c r="G540" s="49"/>
      <c r="H540" s="49"/>
      <c r="I540" s="49"/>
      <c r="J540" s="49"/>
      <c r="K540" s="49"/>
      <c r="L540" s="49"/>
      <c r="M540" s="49"/>
      <c r="N540" s="49"/>
      <c r="O540" s="49"/>
      <c r="P540" s="49"/>
      <c r="Q540" s="49"/>
      <c r="R540" s="49"/>
      <c r="S540" s="49"/>
      <c r="T540" s="49"/>
      <c r="U540" s="49"/>
      <c r="V540" s="49"/>
      <c r="W540" s="49"/>
    </row>
    <row r="541" spans="1:23">
      <c r="A541" s="49"/>
      <c r="B541" s="49"/>
      <c r="C541" s="49"/>
      <c r="D541" s="49"/>
      <c r="E541" s="49"/>
      <c r="F541" s="49"/>
      <c r="G541" s="49"/>
      <c r="H541" s="49"/>
      <c r="I541" s="49"/>
      <c r="J541" s="49"/>
      <c r="K541" s="49"/>
      <c r="L541" s="49"/>
      <c r="M541" s="49"/>
      <c r="N541" s="49"/>
      <c r="O541" s="49"/>
      <c r="P541" s="49"/>
      <c r="Q541" s="49"/>
      <c r="R541" s="49"/>
      <c r="S541" s="49"/>
      <c r="T541" s="49"/>
      <c r="U541" s="49"/>
      <c r="V541" s="49"/>
      <c r="W541" s="49"/>
    </row>
    <row r="542" spans="1:23">
      <c r="A542" s="49"/>
      <c r="B542" s="49"/>
      <c r="C542" s="49"/>
      <c r="D542" s="49"/>
      <c r="E542" s="49"/>
      <c r="F542" s="49"/>
      <c r="G542" s="49"/>
      <c r="H542" s="49"/>
      <c r="I542" s="49"/>
      <c r="J542" s="49"/>
      <c r="K542" s="49"/>
      <c r="L542" s="49"/>
      <c r="M542" s="49"/>
      <c r="N542" s="49"/>
      <c r="O542" s="49"/>
      <c r="P542" s="49"/>
      <c r="Q542" s="49"/>
      <c r="R542" s="49"/>
      <c r="S542" s="49"/>
      <c r="T542" s="49"/>
      <c r="U542" s="49"/>
      <c r="V542" s="49"/>
      <c r="W542" s="49"/>
    </row>
    <row r="543" spans="1:23">
      <c r="A543" s="49"/>
      <c r="B543" s="49"/>
      <c r="C543" s="49"/>
      <c r="D543" s="49"/>
      <c r="E543" s="49"/>
      <c r="F543" s="49"/>
      <c r="G543" s="49"/>
      <c r="H543" s="49"/>
      <c r="I543" s="49"/>
      <c r="J543" s="49"/>
      <c r="K543" s="49"/>
      <c r="L543" s="49"/>
      <c r="M543" s="49"/>
      <c r="N543" s="49"/>
      <c r="O543" s="49"/>
      <c r="P543" s="49"/>
      <c r="Q543" s="49"/>
      <c r="R543" s="49"/>
      <c r="S543" s="49"/>
      <c r="T543" s="49"/>
      <c r="U543" s="49"/>
      <c r="V543" s="49"/>
      <c r="W543" s="49"/>
    </row>
    <row r="544" spans="1:23">
      <c r="A544" s="49"/>
      <c r="B544" s="49"/>
      <c r="C544" s="49"/>
      <c r="D544" s="49"/>
      <c r="E544" s="49"/>
      <c r="F544" s="49"/>
      <c r="G544" s="49"/>
      <c r="H544" s="49"/>
      <c r="I544" s="49"/>
      <c r="J544" s="49"/>
      <c r="K544" s="49"/>
      <c r="L544" s="49"/>
      <c r="M544" s="49"/>
      <c r="N544" s="49"/>
      <c r="O544" s="49"/>
      <c r="P544" s="49"/>
      <c r="Q544" s="49"/>
      <c r="R544" s="49"/>
      <c r="S544" s="49"/>
      <c r="T544" s="49"/>
      <c r="U544" s="49"/>
      <c r="V544" s="49"/>
      <c r="W544" s="49"/>
    </row>
    <row r="545" spans="1:23">
      <c r="A545" s="49"/>
      <c r="B545" s="49"/>
      <c r="C545" s="49"/>
      <c r="D545" s="49"/>
      <c r="E545" s="49"/>
      <c r="F545" s="49"/>
      <c r="G545" s="49"/>
      <c r="H545" s="49"/>
      <c r="I545" s="49"/>
      <c r="J545" s="49"/>
      <c r="K545" s="49"/>
      <c r="L545" s="49"/>
      <c r="M545" s="49"/>
      <c r="N545" s="49"/>
      <c r="O545" s="49"/>
      <c r="P545" s="49"/>
      <c r="Q545" s="49"/>
      <c r="R545" s="49"/>
      <c r="S545" s="49"/>
      <c r="T545" s="49"/>
      <c r="U545" s="49"/>
      <c r="V545" s="49"/>
      <c r="W545" s="49"/>
    </row>
    <row r="546" spans="1:23">
      <c r="A546" s="49"/>
      <c r="B546" s="49"/>
      <c r="C546" s="49"/>
      <c r="D546" s="49"/>
      <c r="E546" s="49"/>
      <c r="F546" s="49"/>
      <c r="G546" s="49"/>
      <c r="H546" s="49"/>
      <c r="I546" s="49"/>
      <c r="J546" s="49"/>
      <c r="K546" s="49"/>
      <c r="L546" s="49"/>
      <c r="M546" s="49"/>
      <c r="N546" s="49"/>
      <c r="O546" s="49"/>
      <c r="P546" s="49"/>
      <c r="Q546" s="49"/>
      <c r="R546" s="49"/>
      <c r="S546" s="49"/>
      <c r="T546" s="49"/>
      <c r="U546" s="49"/>
      <c r="V546" s="49"/>
      <c r="W546" s="49"/>
    </row>
    <row r="547" spans="1:23">
      <c r="A547" s="49"/>
      <c r="B547" s="49"/>
      <c r="C547" s="49"/>
      <c r="D547" s="49"/>
      <c r="E547" s="49"/>
      <c r="F547" s="49"/>
      <c r="G547" s="49"/>
      <c r="H547" s="49"/>
      <c r="I547" s="49"/>
      <c r="J547" s="49"/>
      <c r="K547" s="49"/>
      <c r="L547" s="49"/>
      <c r="M547" s="49"/>
      <c r="N547" s="49"/>
      <c r="O547" s="49"/>
      <c r="P547" s="49"/>
      <c r="Q547" s="49"/>
      <c r="R547" s="49"/>
      <c r="S547" s="49"/>
      <c r="T547" s="49"/>
      <c r="U547" s="49"/>
      <c r="V547" s="49"/>
      <c r="W547" s="49"/>
    </row>
    <row r="548" spans="1:23">
      <c r="A548" s="49"/>
      <c r="B548" s="49"/>
      <c r="C548" s="49"/>
      <c r="D548" s="49"/>
      <c r="E548" s="49"/>
      <c r="F548" s="49"/>
      <c r="G548" s="49"/>
      <c r="H548" s="49"/>
      <c r="I548" s="49"/>
      <c r="J548" s="49"/>
      <c r="K548" s="49"/>
      <c r="L548" s="49"/>
      <c r="M548" s="49"/>
      <c r="N548" s="49"/>
      <c r="O548" s="49"/>
      <c r="P548" s="49"/>
      <c r="Q548" s="49"/>
      <c r="R548" s="49"/>
      <c r="S548" s="49"/>
      <c r="T548" s="49"/>
      <c r="U548" s="49"/>
      <c r="V548" s="49"/>
      <c r="W548" s="49"/>
    </row>
    <row r="549" spans="1:23">
      <c r="A549" s="49"/>
      <c r="B549" s="49"/>
      <c r="C549" s="49"/>
      <c r="D549" s="49"/>
      <c r="E549" s="49"/>
      <c r="F549" s="49"/>
      <c r="G549" s="49"/>
      <c r="H549" s="49"/>
      <c r="I549" s="49"/>
      <c r="J549" s="49"/>
      <c r="K549" s="49"/>
      <c r="L549" s="49"/>
      <c r="M549" s="49"/>
      <c r="N549" s="49"/>
      <c r="O549" s="49"/>
      <c r="P549" s="49"/>
      <c r="Q549" s="49"/>
      <c r="R549" s="49"/>
      <c r="S549" s="49"/>
      <c r="T549" s="49"/>
      <c r="U549" s="49"/>
      <c r="V549" s="49"/>
      <c r="W549" s="49"/>
    </row>
    <row r="550" spans="1:23">
      <c r="A550" s="49"/>
      <c r="B550" s="49"/>
      <c r="C550" s="49"/>
      <c r="D550" s="49"/>
      <c r="E550" s="49"/>
      <c r="F550" s="49"/>
      <c r="G550" s="49"/>
      <c r="H550" s="49"/>
      <c r="I550" s="49"/>
      <c r="J550" s="49"/>
      <c r="K550" s="49"/>
      <c r="L550" s="49"/>
      <c r="M550" s="49"/>
      <c r="N550" s="49"/>
      <c r="O550" s="49"/>
      <c r="P550" s="49"/>
      <c r="Q550" s="49"/>
      <c r="R550" s="49"/>
      <c r="S550" s="49"/>
      <c r="T550" s="49"/>
      <c r="U550" s="49"/>
      <c r="V550" s="49"/>
      <c r="W550" s="49"/>
    </row>
    <row r="551" spans="1:23">
      <c r="A551" s="49"/>
      <c r="B551" s="49"/>
      <c r="C551" s="49"/>
      <c r="D551" s="49"/>
      <c r="E551" s="49"/>
      <c r="F551" s="49"/>
      <c r="G551" s="49"/>
      <c r="H551" s="49"/>
      <c r="I551" s="49"/>
      <c r="J551" s="49"/>
      <c r="K551" s="49"/>
      <c r="L551" s="49"/>
      <c r="M551" s="49"/>
      <c r="N551" s="49"/>
      <c r="O551" s="49"/>
      <c r="P551" s="49"/>
      <c r="Q551" s="49"/>
      <c r="R551" s="49"/>
      <c r="S551" s="49"/>
      <c r="T551" s="49"/>
      <c r="U551" s="49"/>
      <c r="V551" s="49"/>
      <c r="W551" s="49"/>
    </row>
    <row r="552" spans="1:23">
      <c r="A552" s="49"/>
      <c r="B552" s="49"/>
      <c r="C552" s="49"/>
      <c r="D552" s="49"/>
      <c r="E552" s="49"/>
      <c r="F552" s="49"/>
      <c r="G552" s="49"/>
      <c r="H552" s="49"/>
      <c r="I552" s="49"/>
      <c r="J552" s="49"/>
      <c r="K552" s="49"/>
      <c r="L552" s="49"/>
      <c r="M552" s="49"/>
      <c r="N552" s="49"/>
      <c r="O552" s="49"/>
      <c r="P552" s="49"/>
      <c r="Q552" s="49"/>
      <c r="R552" s="49"/>
      <c r="S552" s="49"/>
      <c r="T552" s="49"/>
      <c r="U552" s="49"/>
      <c r="V552" s="49"/>
      <c r="W552" s="49"/>
    </row>
    <row r="553" spans="1:23">
      <c r="A553" s="49"/>
      <c r="B553" s="49"/>
      <c r="C553" s="49"/>
      <c r="D553" s="49"/>
      <c r="E553" s="49"/>
      <c r="F553" s="49"/>
      <c r="G553" s="49"/>
      <c r="H553" s="49"/>
      <c r="I553" s="49"/>
      <c r="J553" s="49"/>
      <c r="K553" s="49"/>
      <c r="L553" s="49"/>
      <c r="M553" s="49"/>
      <c r="N553" s="49"/>
      <c r="O553" s="49"/>
      <c r="P553" s="49"/>
      <c r="Q553" s="49"/>
      <c r="R553" s="49"/>
      <c r="S553" s="49"/>
      <c r="T553" s="49"/>
      <c r="U553" s="49"/>
      <c r="V553" s="49"/>
      <c r="W553" s="49"/>
    </row>
    <row r="554" spans="1:23">
      <c r="A554" s="49"/>
      <c r="B554" s="49"/>
      <c r="C554" s="49"/>
      <c r="D554" s="49"/>
      <c r="E554" s="49"/>
      <c r="F554" s="49"/>
      <c r="G554" s="49"/>
      <c r="H554" s="49"/>
      <c r="I554" s="49"/>
      <c r="J554" s="49"/>
      <c r="K554" s="49"/>
      <c r="L554" s="49"/>
      <c r="M554" s="49"/>
      <c r="N554" s="49"/>
      <c r="O554" s="49"/>
      <c r="P554" s="49"/>
      <c r="Q554" s="49"/>
      <c r="R554" s="49"/>
      <c r="S554" s="49"/>
      <c r="T554" s="49"/>
      <c r="U554" s="49"/>
      <c r="V554" s="49"/>
      <c r="W554" s="49"/>
    </row>
    <row r="555" spans="1:23">
      <c r="A555" s="49"/>
      <c r="B555" s="49"/>
      <c r="C555" s="49"/>
      <c r="D555" s="49"/>
      <c r="E555" s="49"/>
      <c r="F555" s="49"/>
      <c r="G555" s="49"/>
      <c r="H555" s="49"/>
      <c r="I555" s="49"/>
      <c r="J555" s="49"/>
      <c r="K555" s="49"/>
      <c r="L555" s="49"/>
      <c r="M555" s="49"/>
      <c r="N555" s="49"/>
      <c r="O555" s="49"/>
      <c r="P555" s="49"/>
      <c r="Q555" s="49"/>
      <c r="R555" s="49"/>
      <c r="S555" s="49"/>
      <c r="T555" s="49"/>
      <c r="U555" s="49"/>
      <c r="V555" s="49"/>
      <c r="W555" s="49"/>
    </row>
    <row r="556" spans="1:23">
      <c r="A556" s="49"/>
      <c r="B556" s="49"/>
      <c r="C556" s="49"/>
      <c r="D556" s="49"/>
      <c r="E556" s="49"/>
      <c r="F556" s="49"/>
      <c r="G556" s="49"/>
      <c r="H556" s="49"/>
      <c r="I556" s="49"/>
      <c r="J556" s="49"/>
      <c r="K556" s="49"/>
      <c r="L556" s="49"/>
      <c r="M556" s="49"/>
      <c r="N556" s="49"/>
      <c r="O556" s="49"/>
      <c r="P556" s="49"/>
      <c r="Q556" s="49"/>
      <c r="R556" s="49"/>
      <c r="S556" s="49"/>
      <c r="T556" s="49"/>
      <c r="U556" s="49"/>
      <c r="V556" s="49"/>
      <c r="W556" s="49"/>
    </row>
    <row r="557" spans="1:23">
      <c r="A557" s="49"/>
      <c r="B557" s="49"/>
      <c r="C557" s="49"/>
      <c r="D557" s="49"/>
      <c r="E557" s="49"/>
      <c r="F557" s="49"/>
      <c r="G557" s="49"/>
      <c r="H557" s="49"/>
      <c r="I557" s="49"/>
      <c r="J557" s="49"/>
      <c r="K557" s="49"/>
      <c r="L557" s="49"/>
      <c r="M557" s="49"/>
      <c r="N557" s="49"/>
      <c r="O557" s="49"/>
      <c r="P557" s="49"/>
      <c r="Q557" s="49"/>
      <c r="R557" s="49"/>
      <c r="S557" s="49"/>
      <c r="T557" s="49"/>
      <c r="U557" s="49"/>
      <c r="V557" s="49"/>
      <c r="W557" s="49"/>
    </row>
    <row r="558" spans="1:23">
      <c r="A558" s="49"/>
      <c r="B558" s="49"/>
      <c r="C558" s="49"/>
      <c r="D558" s="49"/>
      <c r="E558" s="49"/>
      <c r="F558" s="49"/>
      <c r="G558" s="49"/>
      <c r="H558" s="49"/>
      <c r="I558" s="49"/>
      <c r="J558" s="49"/>
      <c r="K558" s="49"/>
      <c r="L558" s="49"/>
      <c r="M558" s="49"/>
      <c r="N558" s="49"/>
      <c r="O558" s="49"/>
      <c r="P558" s="49"/>
      <c r="Q558" s="49"/>
      <c r="R558" s="49"/>
      <c r="S558" s="49"/>
      <c r="T558" s="49"/>
      <c r="U558" s="49"/>
      <c r="V558" s="49"/>
      <c r="W558" s="49"/>
    </row>
    <row r="559" spans="1:23">
      <c r="A559" s="49"/>
      <c r="B559" s="49"/>
      <c r="C559" s="49"/>
      <c r="D559" s="49"/>
      <c r="E559" s="49"/>
      <c r="F559" s="49"/>
      <c r="G559" s="49"/>
      <c r="H559" s="49"/>
      <c r="I559" s="49"/>
      <c r="J559" s="49"/>
      <c r="K559" s="49"/>
      <c r="L559" s="49"/>
      <c r="M559" s="49"/>
      <c r="N559" s="49"/>
      <c r="O559" s="49"/>
      <c r="P559" s="49"/>
      <c r="Q559" s="49"/>
      <c r="R559" s="49"/>
      <c r="S559" s="49"/>
      <c r="T559" s="49"/>
      <c r="U559" s="49"/>
      <c r="V559" s="49"/>
      <c r="W559" s="49"/>
    </row>
    <row r="560" spans="1:23">
      <c r="A560" s="49"/>
      <c r="B560" s="49"/>
      <c r="C560" s="49"/>
      <c r="D560" s="49"/>
      <c r="E560" s="49"/>
      <c r="F560" s="49"/>
      <c r="G560" s="49"/>
      <c r="H560" s="49"/>
      <c r="I560" s="49"/>
      <c r="J560" s="49"/>
      <c r="K560" s="49"/>
      <c r="L560" s="49"/>
      <c r="M560" s="49"/>
      <c r="N560" s="49"/>
      <c r="O560" s="49"/>
      <c r="P560" s="49"/>
      <c r="Q560" s="49"/>
      <c r="R560" s="49"/>
      <c r="S560" s="49"/>
      <c r="T560" s="49"/>
      <c r="U560" s="49"/>
      <c r="V560" s="49"/>
      <c r="W560" s="49"/>
    </row>
    <row r="561" spans="1:23">
      <c r="A561" s="49"/>
      <c r="B561" s="49"/>
      <c r="C561" s="49"/>
      <c r="D561" s="49"/>
      <c r="E561" s="49"/>
      <c r="F561" s="49"/>
      <c r="G561" s="49"/>
      <c r="H561" s="49"/>
      <c r="I561" s="49"/>
      <c r="J561" s="49"/>
      <c r="K561" s="49"/>
      <c r="L561" s="49"/>
      <c r="M561" s="49"/>
      <c r="N561" s="49"/>
      <c r="O561" s="49"/>
      <c r="P561" s="49"/>
      <c r="Q561" s="49"/>
      <c r="R561" s="49"/>
      <c r="S561" s="49"/>
      <c r="T561" s="49"/>
      <c r="U561" s="49"/>
      <c r="V561" s="49"/>
      <c r="W561" s="49"/>
    </row>
    <row r="562" spans="1:23">
      <c r="A562" s="49"/>
      <c r="B562" s="49"/>
      <c r="C562" s="49"/>
      <c r="D562" s="49"/>
      <c r="E562" s="49"/>
      <c r="F562" s="49"/>
      <c r="G562" s="49"/>
      <c r="H562" s="49"/>
      <c r="I562" s="49"/>
      <c r="J562" s="49"/>
      <c r="K562" s="49"/>
      <c r="L562" s="49"/>
      <c r="M562" s="49"/>
      <c r="N562" s="49"/>
      <c r="O562" s="49"/>
      <c r="P562" s="49"/>
      <c r="Q562" s="49"/>
      <c r="R562" s="49"/>
      <c r="S562" s="49"/>
      <c r="T562" s="49"/>
      <c r="U562" s="49"/>
      <c r="V562" s="49"/>
      <c r="W562" s="49"/>
    </row>
    <row r="563" spans="1:23">
      <c r="A563" s="49"/>
      <c r="B563" s="49"/>
      <c r="C563" s="49"/>
      <c r="D563" s="49"/>
      <c r="E563" s="49"/>
      <c r="F563" s="49"/>
      <c r="G563" s="49"/>
      <c r="H563" s="49"/>
      <c r="I563" s="49"/>
      <c r="J563" s="49"/>
      <c r="K563" s="49"/>
      <c r="L563" s="49"/>
      <c r="M563" s="49"/>
      <c r="N563" s="49"/>
      <c r="O563" s="49"/>
      <c r="P563" s="49"/>
      <c r="Q563" s="49"/>
      <c r="R563" s="49"/>
      <c r="S563" s="49"/>
      <c r="T563" s="49"/>
      <c r="U563" s="49"/>
      <c r="V563" s="49"/>
      <c r="W563" s="49"/>
    </row>
    <row r="564" spans="1:23">
      <c r="A564" s="49"/>
      <c r="B564" s="49"/>
      <c r="C564" s="49"/>
      <c r="D564" s="49"/>
      <c r="E564" s="49"/>
      <c r="F564" s="49"/>
      <c r="G564" s="49"/>
      <c r="H564" s="49"/>
      <c r="I564" s="49"/>
      <c r="J564" s="49"/>
      <c r="K564" s="49"/>
      <c r="L564" s="49"/>
      <c r="M564" s="49"/>
      <c r="N564" s="49"/>
      <c r="O564" s="49"/>
      <c r="P564" s="49"/>
      <c r="Q564" s="49"/>
      <c r="R564" s="49"/>
      <c r="S564" s="49"/>
      <c r="T564" s="49"/>
      <c r="U564" s="49"/>
      <c r="V564" s="49"/>
      <c r="W564" s="49"/>
    </row>
    <row r="565" spans="1:23">
      <c r="A565" s="49"/>
      <c r="B565" s="49"/>
      <c r="C565" s="49"/>
      <c r="D565" s="49"/>
      <c r="E565" s="49"/>
      <c r="F565" s="49"/>
      <c r="G565" s="49"/>
      <c r="H565" s="49"/>
      <c r="I565" s="49"/>
      <c r="J565" s="49"/>
      <c r="K565" s="49"/>
      <c r="L565" s="49"/>
      <c r="M565" s="49"/>
      <c r="N565" s="49"/>
      <c r="O565" s="49"/>
      <c r="P565" s="49"/>
      <c r="Q565" s="49"/>
      <c r="R565" s="49"/>
      <c r="S565" s="49"/>
      <c r="T565" s="49"/>
      <c r="U565" s="49"/>
      <c r="V565" s="49"/>
      <c r="W565" s="49"/>
    </row>
    <row r="566" spans="1:23">
      <c r="A566" s="49"/>
      <c r="B566" s="49"/>
      <c r="C566" s="49"/>
      <c r="D566" s="49"/>
      <c r="E566" s="49"/>
      <c r="F566" s="49"/>
      <c r="G566" s="49"/>
      <c r="H566" s="49"/>
      <c r="I566" s="49"/>
      <c r="J566" s="49"/>
      <c r="K566" s="49"/>
      <c r="L566" s="49"/>
      <c r="M566" s="49"/>
      <c r="N566" s="49"/>
      <c r="O566" s="49"/>
      <c r="P566" s="49"/>
      <c r="Q566" s="49"/>
      <c r="R566" s="49"/>
      <c r="S566" s="49"/>
      <c r="T566" s="49"/>
      <c r="U566" s="49"/>
      <c r="V566" s="49"/>
      <c r="W566" s="49"/>
    </row>
    <row r="567" spans="1:23">
      <c r="A567" s="49"/>
      <c r="B567" s="49"/>
      <c r="C567" s="49"/>
      <c r="D567" s="49"/>
      <c r="E567" s="49"/>
      <c r="F567" s="49"/>
      <c r="G567" s="49"/>
      <c r="H567" s="49"/>
      <c r="I567" s="49"/>
      <c r="J567" s="49"/>
      <c r="K567" s="49"/>
      <c r="L567" s="49"/>
      <c r="M567" s="49"/>
      <c r="N567" s="49"/>
      <c r="O567" s="49"/>
      <c r="P567" s="49"/>
      <c r="Q567" s="49"/>
      <c r="R567" s="49"/>
      <c r="S567" s="49"/>
      <c r="T567" s="49"/>
      <c r="U567" s="49"/>
      <c r="V567" s="49"/>
      <c r="W567" s="49"/>
    </row>
    <row r="568" spans="1:23">
      <c r="A568" s="49"/>
      <c r="B568" s="49"/>
      <c r="C568" s="49"/>
      <c r="D568" s="49"/>
      <c r="E568" s="49"/>
      <c r="F568" s="49"/>
      <c r="G568" s="49"/>
      <c r="H568" s="49"/>
      <c r="I568" s="49"/>
      <c r="J568" s="49"/>
      <c r="K568" s="49"/>
      <c r="L568" s="49"/>
      <c r="M568" s="49"/>
      <c r="N568" s="49"/>
      <c r="O568" s="49"/>
      <c r="P568" s="49"/>
      <c r="Q568" s="49"/>
      <c r="R568" s="49"/>
      <c r="S568" s="49"/>
      <c r="T568" s="49"/>
      <c r="U568" s="49"/>
      <c r="V568" s="49"/>
      <c r="W568" s="49"/>
    </row>
    <row r="569" spans="1:23">
      <c r="A569" s="49"/>
      <c r="B569" s="49"/>
      <c r="C569" s="49"/>
      <c r="D569" s="49"/>
      <c r="E569" s="49"/>
      <c r="F569" s="49"/>
      <c r="G569" s="49"/>
      <c r="H569" s="49"/>
      <c r="I569" s="49"/>
      <c r="J569" s="49"/>
      <c r="K569" s="49"/>
      <c r="L569" s="49"/>
      <c r="M569" s="49"/>
      <c r="N569" s="49"/>
      <c r="O569" s="49"/>
      <c r="P569" s="49"/>
      <c r="Q569" s="49"/>
      <c r="R569" s="49"/>
      <c r="S569" s="49"/>
      <c r="T569" s="49"/>
      <c r="U569" s="49"/>
      <c r="V569" s="49"/>
      <c r="W569" s="49"/>
    </row>
    <row r="570" spans="1:23">
      <c r="A570" s="49"/>
      <c r="B570" s="49"/>
      <c r="C570" s="49"/>
      <c r="D570" s="49"/>
      <c r="E570" s="49"/>
      <c r="F570" s="49"/>
      <c r="G570" s="49"/>
      <c r="H570" s="49"/>
      <c r="I570" s="49"/>
      <c r="J570" s="49"/>
      <c r="K570" s="49"/>
      <c r="L570" s="49"/>
      <c r="M570" s="49"/>
      <c r="N570" s="49"/>
      <c r="O570" s="49"/>
      <c r="P570" s="49"/>
      <c r="Q570" s="49"/>
      <c r="R570" s="49"/>
      <c r="S570" s="49"/>
      <c r="T570" s="49"/>
      <c r="U570" s="49"/>
      <c r="V570" s="49"/>
      <c r="W570" s="49"/>
    </row>
    <row r="571" spans="1:23">
      <c r="A571" s="49"/>
      <c r="B571" s="49"/>
      <c r="C571" s="49"/>
      <c r="D571" s="49"/>
      <c r="E571" s="49"/>
      <c r="F571" s="49"/>
      <c r="G571" s="49"/>
      <c r="H571" s="49"/>
      <c r="I571" s="49"/>
      <c r="J571" s="49"/>
      <c r="K571" s="49"/>
      <c r="L571" s="49"/>
      <c r="M571" s="49"/>
      <c r="N571" s="49"/>
      <c r="O571" s="49"/>
      <c r="P571" s="49"/>
      <c r="Q571" s="49"/>
      <c r="R571" s="49"/>
      <c r="S571" s="49"/>
      <c r="T571" s="49"/>
      <c r="U571" s="49"/>
      <c r="V571" s="49"/>
      <c r="W571" s="49"/>
    </row>
    <row r="572" spans="1:23">
      <c r="A572" s="49"/>
      <c r="B572" s="49"/>
      <c r="C572" s="49"/>
      <c r="D572" s="49"/>
      <c r="E572" s="49"/>
      <c r="F572" s="49"/>
      <c r="G572" s="49"/>
      <c r="H572" s="49"/>
      <c r="I572" s="49"/>
      <c r="J572" s="49"/>
      <c r="K572" s="49"/>
      <c r="L572" s="49"/>
      <c r="M572" s="49"/>
      <c r="N572" s="49"/>
      <c r="O572" s="49"/>
      <c r="P572" s="49"/>
      <c r="Q572" s="49"/>
      <c r="R572" s="49"/>
      <c r="S572" s="49"/>
      <c r="T572" s="49"/>
      <c r="U572" s="49"/>
      <c r="V572" s="49"/>
      <c r="W572" s="49"/>
    </row>
    <row r="573" spans="1:23">
      <c r="A573" s="49"/>
      <c r="B573" s="49"/>
      <c r="C573" s="49"/>
      <c r="D573" s="49"/>
      <c r="E573" s="49"/>
      <c r="F573" s="49"/>
      <c r="G573" s="49"/>
      <c r="H573" s="49"/>
      <c r="I573" s="49"/>
      <c r="J573" s="49"/>
      <c r="K573" s="49"/>
      <c r="L573" s="49"/>
      <c r="M573" s="49"/>
      <c r="N573" s="49"/>
      <c r="O573" s="49"/>
      <c r="P573" s="49"/>
      <c r="Q573" s="49"/>
      <c r="R573" s="49"/>
      <c r="S573" s="49"/>
      <c r="T573" s="49"/>
      <c r="U573" s="49"/>
      <c r="V573" s="49"/>
      <c r="W573" s="49"/>
    </row>
    <row r="574" spans="1:23">
      <c r="A574" s="49"/>
      <c r="B574" s="49"/>
      <c r="C574" s="49"/>
      <c r="D574" s="49"/>
      <c r="E574" s="49"/>
      <c r="F574" s="49"/>
      <c r="G574" s="49"/>
      <c r="H574" s="49"/>
      <c r="I574" s="49"/>
      <c r="J574" s="49"/>
      <c r="K574" s="49"/>
      <c r="L574" s="49"/>
      <c r="M574" s="49"/>
      <c r="N574" s="49"/>
      <c r="O574" s="49"/>
      <c r="P574" s="49"/>
      <c r="Q574" s="49"/>
      <c r="R574" s="49"/>
      <c r="S574" s="49"/>
      <c r="T574" s="49"/>
      <c r="U574" s="49"/>
      <c r="V574" s="49"/>
      <c r="W574" s="49"/>
    </row>
    <row r="575" spans="1:23">
      <c r="A575" s="49"/>
      <c r="B575" s="49"/>
      <c r="C575" s="49"/>
      <c r="D575" s="49"/>
      <c r="E575" s="49"/>
      <c r="F575" s="49"/>
      <c r="G575" s="49"/>
      <c r="H575" s="49"/>
      <c r="I575" s="49"/>
      <c r="J575" s="49"/>
      <c r="K575" s="49"/>
      <c r="L575" s="49"/>
      <c r="M575" s="49"/>
      <c r="N575" s="49"/>
      <c r="O575" s="49"/>
      <c r="P575" s="49"/>
      <c r="Q575" s="49"/>
      <c r="R575" s="49"/>
      <c r="S575" s="49"/>
      <c r="T575" s="49"/>
      <c r="U575" s="49"/>
      <c r="V575" s="49"/>
      <c r="W575" s="49"/>
    </row>
    <row r="576" spans="1:23">
      <c r="A576" s="49"/>
      <c r="B576" s="49"/>
      <c r="C576" s="49"/>
      <c r="D576" s="49"/>
      <c r="E576" s="49"/>
      <c r="F576" s="49"/>
      <c r="G576" s="49"/>
      <c r="H576" s="49"/>
      <c r="I576" s="49"/>
      <c r="J576" s="49"/>
      <c r="K576" s="49"/>
      <c r="L576" s="49"/>
      <c r="M576" s="49"/>
      <c r="N576" s="49"/>
      <c r="O576" s="49"/>
      <c r="P576" s="49"/>
      <c r="Q576" s="49"/>
      <c r="R576" s="49"/>
      <c r="S576" s="49"/>
      <c r="T576" s="49"/>
      <c r="U576" s="49"/>
      <c r="V576" s="49"/>
      <c r="W576" s="49"/>
    </row>
    <row r="577" spans="1:23">
      <c r="A577" s="49"/>
      <c r="B577" s="49"/>
      <c r="C577" s="49"/>
      <c r="D577" s="49"/>
      <c r="E577" s="49"/>
      <c r="F577" s="49"/>
      <c r="G577" s="49"/>
      <c r="H577" s="49"/>
      <c r="I577" s="49"/>
      <c r="J577" s="49"/>
      <c r="K577" s="49"/>
      <c r="L577" s="49"/>
      <c r="M577" s="49"/>
      <c r="N577" s="49"/>
      <c r="O577" s="49"/>
      <c r="P577" s="49"/>
      <c r="Q577" s="49"/>
      <c r="R577" s="49"/>
      <c r="S577" s="49"/>
      <c r="T577" s="49"/>
      <c r="U577" s="49"/>
      <c r="V577" s="49"/>
      <c r="W577" s="49"/>
    </row>
    <row r="578" spans="1:23">
      <c r="A578" s="49"/>
      <c r="B578" s="49"/>
      <c r="C578" s="49"/>
      <c r="D578" s="49"/>
      <c r="E578" s="49"/>
      <c r="F578" s="49"/>
      <c r="G578" s="49"/>
      <c r="H578" s="49"/>
      <c r="I578" s="49"/>
      <c r="J578" s="49"/>
      <c r="K578" s="49"/>
      <c r="L578" s="49"/>
      <c r="M578" s="49"/>
      <c r="N578" s="49"/>
      <c r="O578" s="49"/>
      <c r="P578" s="49"/>
      <c r="Q578" s="49"/>
      <c r="R578" s="49"/>
      <c r="S578" s="49"/>
      <c r="T578" s="49"/>
      <c r="U578" s="49"/>
      <c r="V578" s="49"/>
      <c r="W578" s="49"/>
    </row>
    <row r="579" spans="1:23">
      <c r="A579" s="49"/>
      <c r="B579" s="49"/>
      <c r="C579" s="49"/>
      <c r="D579" s="49"/>
      <c r="E579" s="49"/>
      <c r="F579" s="49"/>
      <c r="G579" s="49"/>
      <c r="H579" s="49"/>
      <c r="I579" s="49"/>
      <c r="J579" s="49"/>
      <c r="K579" s="49"/>
      <c r="L579" s="49"/>
      <c r="M579" s="49"/>
      <c r="N579" s="49"/>
      <c r="O579" s="49"/>
      <c r="P579" s="49"/>
      <c r="Q579" s="49"/>
      <c r="R579" s="49"/>
      <c r="S579" s="49"/>
      <c r="T579" s="49"/>
      <c r="U579" s="49"/>
      <c r="V579" s="49"/>
      <c r="W579" s="49"/>
    </row>
    <row r="580" spans="1:23">
      <c r="A580" s="49"/>
      <c r="B580" s="49"/>
      <c r="C580" s="49"/>
      <c r="D580" s="49"/>
      <c r="E580" s="49"/>
      <c r="F580" s="49"/>
      <c r="G580" s="49"/>
      <c r="H580" s="49"/>
      <c r="I580" s="49"/>
      <c r="J580" s="49"/>
      <c r="K580" s="49"/>
      <c r="L580" s="49"/>
      <c r="M580" s="49"/>
      <c r="N580" s="49"/>
      <c r="O580" s="49"/>
      <c r="P580" s="49"/>
      <c r="Q580" s="49"/>
      <c r="R580" s="49"/>
      <c r="S580" s="49"/>
      <c r="T580" s="49"/>
      <c r="U580" s="49"/>
      <c r="V580" s="49"/>
      <c r="W580" s="49"/>
    </row>
    <row r="581" spans="1:23">
      <c r="A581" s="49"/>
      <c r="B581" s="49"/>
      <c r="C581" s="49"/>
      <c r="D581" s="49"/>
      <c r="E581" s="49"/>
      <c r="F581" s="49"/>
      <c r="G581" s="49"/>
      <c r="H581" s="49"/>
      <c r="I581" s="49"/>
      <c r="J581" s="49"/>
      <c r="K581" s="49"/>
      <c r="L581" s="49"/>
      <c r="M581" s="49"/>
      <c r="N581" s="49"/>
      <c r="O581" s="49"/>
      <c r="P581" s="49"/>
      <c r="Q581" s="49"/>
      <c r="R581" s="49"/>
      <c r="S581" s="49"/>
      <c r="T581" s="49"/>
      <c r="U581" s="49"/>
      <c r="V581" s="49"/>
      <c r="W581" s="49"/>
    </row>
    <row r="582" spans="1:23">
      <c r="A582" s="49"/>
      <c r="B582" s="49"/>
      <c r="C582" s="49"/>
      <c r="D582" s="49"/>
      <c r="E582" s="49"/>
      <c r="F582" s="49"/>
      <c r="G582" s="49"/>
      <c r="H582" s="49"/>
      <c r="I582" s="49"/>
      <c r="J582" s="49"/>
      <c r="K582" s="49"/>
      <c r="L582" s="49"/>
      <c r="M582" s="49"/>
      <c r="N582" s="49"/>
      <c r="O582" s="49"/>
      <c r="P582" s="49"/>
      <c r="Q582" s="49"/>
      <c r="R582" s="49"/>
      <c r="S582" s="49"/>
      <c r="T582" s="49"/>
      <c r="U582" s="49"/>
      <c r="V582" s="49"/>
      <c r="W582" s="49"/>
    </row>
    <row r="583" spans="1:23">
      <c r="A583" s="49"/>
      <c r="B583" s="49"/>
      <c r="C583" s="49"/>
      <c r="D583" s="49"/>
      <c r="E583" s="49"/>
      <c r="F583" s="49"/>
      <c r="G583" s="49"/>
      <c r="H583" s="49"/>
      <c r="I583" s="49"/>
      <c r="J583" s="49"/>
      <c r="K583" s="49"/>
      <c r="L583" s="49"/>
      <c r="M583" s="49"/>
      <c r="N583" s="49"/>
      <c r="O583" s="49"/>
      <c r="P583" s="49"/>
      <c r="Q583" s="49"/>
      <c r="R583" s="49"/>
      <c r="S583" s="49"/>
      <c r="T583" s="49"/>
      <c r="U583" s="49"/>
      <c r="V583" s="49"/>
      <c r="W583" s="49"/>
    </row>
    <row r="584" spans="1:23">
      <c r="A584" s="49"/>
      <c r="B584" s="49"/>
      <c r="C584" s="49"/>
      <c r="D584" s="49"/>
      <c r="E584" s="49"/>
      <c r="F584" s="49"/>
      <c r="G584" s="49"/>
      <c r="H584" s="49"/>
      <c r="I584" s="49"/>
      <c r="J584" s="49"/>
      <c r="K584" s="49"/>
      <c r="L584" s="49"/>
      <c r="M584" s="49"/>
      <c r="N584" s="49"/>
      <c r="O584" s="49"/>
      <c r="P584" s="49"/>
      <c r="Q584" s="49"/>
      <c r="R584" s="49"/>
      <c r="S584" s="49"/>
      <c r="T584" s="49"/>
      <c r="U584" s="49"/>
      <c r="V584" s="49"/>
      <c r="W584" s="49"/>
    </row>
    <row r="585" spans="1:23">
      <c r="A585" s="49"/>
      <c r="B585" s="49"/>
      <c r="C585" s="49"/>
      <c r="D585" s="49"/>
      <c r="E585" s="49"/>
      <c r="F585" s="49"/>
      <c r="G585" s="49"/>
      <c r="H585" s="49"/>
      <c r="I585" s="49"/>
      <c r="J585" s="49"/>
      <c r="K585" s="49"/>
      <c r="L585" s="49"/>
      <c r="M585" s="49"/>
      <c r="N585" s="49"/>
      <c r="O585" s="49"/>
      <c r="P585" s="49"/>
      <c r="Q585" s="49"/>
      <c r="R585" s="49"/>
      <c r="S585" s="49"/>
      <c r="T585" s="49"/>
      <c r="U585" s="49"/>
      <c r="V585" s="49"/>
      <c r="W585" s="49"/>
    </row>
    <row r="586" spans="1:23">
      <c r="A586" s="49"/>
      <c r="B586" s="49"/>
      <c r="C586" s="49"/>
      <c r="D586" s="49"/>
      <c r="E586" s="49"/>
      <c r="F586" s="49"/>
      <c r="G586" s="49"/>
      <c r="H586" s="49"/>
      <c r="I586" s="49"/>
      <c r="J586" s="49"/>
      <c r="K586" s="49"/>
      <c r="L586" s="49"/>
      <c r="M586" s="49"/>
      <c r="N586" s="49"/>
      <c r="O586" s="49"/>
      <c r="P586" s="49"/>
      <c r="Q586" s="49"/>
      <c r="R586" s="49"/>
      <c r="S586" s="49"/>
      <c r="T586" s="49"/>
      <c r="U586" s="49"/>
      <c r="V586" s="49"/>
      <c r="W586" s="49"/>
    </row>
    <row r="587" spans="1:23">
      <c r="A587" s="49"/>
      <c r="B587" s="49"/>
      <c r="C587" s="49"/>
      <c r="D587" s="49"/>
      <c r="E587" s="49"/>
      <c r="F587" s="49"/>
      <c r="G587" s="49"/>
      <c r="H587" s="49"/>
      <c r="I587" s="49"/>
      <c r="J587" s="49"/>
      <c r="K587" s="49"/>
      <c r="L587" s="49"/>
      <c r="M587" s="49"/>
      <c r="N587" s="49"/>
      <c r="O587" s="49"/>
      <c r="P587" s="49"/>
      <c r="Q587" s="49"/>
      <c r="R587" s="49"/>
      <c r="S587" s="49"/>
      <c r="T587" s="49"/>
      <c r="U587" s="49"/>
      <c r="V587" s="49"/>
      <c r="W587" s="49"/>
    </row>
    <row r="588" spans="1:23">
      <c r="A588" s="49"/>
      <c r="B588" s="49"/>
      <c r="C588" s="49"/>
      <c r="D588" s="49"/>
      <c r="E588" s="49"/>
      <c r="F588" s="49"/>
      <c r="G588" s="49"/>
      <c r="H588" s="49"/>
      <c r="I588" s="49"/>
      <c r="J588" s="49"/>
      <c r="K588" s="49"/>
      <c r="L588" s="49"/>
      <c r="M588" s="49"/>
      <c r="N588" s="49"/>
      <c r="O588" s="49"/>
      <c r="P588" s="49"/>
      <c r="Q588" s="49"/>
      <c r="R588" s="49"/>
      <c r="S588" s="49"/>
      <c r="T588" s="49"/>
      <c r="U588" s="49"/>
      <c r="V588" s="49"/>
      <c r="W588" s="49"/>
    </row>
    <row r="589" spans="1:23">
      <c r="A589" s="49"/>
      <c r="B589" s="49"/>
      <c r="C589" s="49"/>
      <c r="D589" s="49"/>
      <c r="E589" s="49"/>
      <c r="F589" s="49"/>
      <c r="G589" s="49"/>
      <c r="H589" s="49"/>
      <c r="I589" s="49"/>
      <c r="J589" s="49"/>
      <c r="K589" s="49"/>
      <c r="L589" s="49"/>
      <c r="M589" s="49"/>
      <c r="N589" s="49"/>
      <c r="O589" s="49"/>
      <c r="P589" s="49"/>
      <c r="Q589" s="49"/>
      <c r="R589" s="49"/>
      <c r="S589" s="49"/>
      <c r="T589" s="49"/>
      <c r="U589" s="49"/>
      <c r="V589" s="49"/>
      <c r="W589" s="49"/>
    </row>
    <row r="590" spans="1:23">
      <c r="A590" s="49"/>
      <c r="B590" s="49"/>
      <c r="C590" s="49"/>
      <c r="D590" s="49"/>
      <c r="E590" s="49"/>
      <c r="F590" s="49"/>
      <c r="G590" s="49"/>
      <c r="H590" s="49"/>
      <c r="I590" s="49"/>
      <c r="J590" s="49"/>
      <c r="K590" s="49"/>
      <c r="L590" s="49"/>
      <c r="M590" s="49"/>
      <c r="N590" s="49"/>
      <c r="O590" s="49"/>
      <c r="P590" s="49"/>
      <c r="Q590" s="49"/>
      <c r="R590" s="49"/>
      <c r="S590" s="49"/>
      <c r="T590" s="49"/>
      <c r="U590" s="49"/>
      <c r="V590" s="49"/>
      <c r="W590" s="49"/>
    </row>
    <row r="591" spans="1:23">
      <c r="A591" s="49"/>
      <c r="B591" s="49"/>
      <c r="C591" s="49"/>
      <c r="D591" s="49"/>
      <c r="E591" s="49"/>
      <c r="F591" s="49"/>
      <c r="G591" s="49"/>
      <c r="H591" s="49"/>
      <c r="I591" s="49"/>
      <c r="J591" s="49"/>
      <c r="K591" s="49"/>
      <c r="L591" s="49"/>
      <c r="M591" s="49"/>
      <c r="N591" s="49"/>
      <c r="O591" s="49"/>
      <c r="P591" s="49"/>
      <c r="Q591" s="49"/>
      <c r="R591" s="49"/>
      <c r="S591" s="49"/>
      <c r="T591" s="49"/>
      <c r="U591" s="49"/>
      <c r="V591" s="49"/>
      <c r="W591" s="49"/>
    </row>
    <row r="592" spans="1:23">
      <c r="A592" s="49"/>
      <c r="B592" s="49"/>
      <c r="C592" s="49"/>
      <c r="D592" s="49"/>
      <c r="E592" s="49"/>
      <c r="F592" s="49"/>
      <c r="G592" s="49"/>
      <c r="H592" s="49"/>
      <c r="I592" s="49"/>
      <c r="J592" s="49"/>
      <c r="K592" s="49"/>
      <c r="L592" s="49"/>
      <c r="M592" s="49"/>
      <c r="N592" s="49"/>
      <c r="O592" s="49"/>
      <c r="P592" s="49"/>
      <c r="Q592" s="49"/>
      <c r="R592" s="49"/>
      <c r="S592" s="49"/>
      <c r="T592" s="49"/>
      <c r="U592" s="49"/>
      <c r="V592" s="49"/>
      <c r="W592" s="49"/>
    </row>
    <row r="593" spans="1:23">
      <c r="A593" s="49"/>
      <c r="B593" s="49"/>
      <c r="C593" s="49"/>
      <c r="D593" s="49"/>
      <c r="E593" s="49"/>
      <c r="F593" s="49"/>
      <c r="G593" s="49"/>
      <c r="H593" s="49"/>
      <c r="I593" s="49"/>
      <c r="J593" s="49"/>
      <c r="K593" s="49"/>
      <c r="L593" s="49"/>
      <c r="M593" s="49"/>
      <c r="N593" s="49"/>
      <c r="O593" s="49"/>
      <c r="P593" s="49"/>
      <c r="Q593" s="49"/>
      <c r="R593" s="49"/>
      <c r="S593" s="49"/>
      <c r="T593" s="49"/>
      <c r="U593" s="49"/>
      <c r="V593" s="49"/>
      <c r="W593" s="49"/>
    </row>
    <row r="594" spans="1:23">
      <c r="A594" s="49"/>
      <c r="B594" s="49"/>
      <c r="C594" s="49"/>
      <c r="D594" s="49"/>
      <c r="E594" s="49"/>
      <c r="F594" s="49"/>
      <c r="G594" s="49"/>
      <c r="H594" s="49"/>
      <c r="I594" s="49"/>
      <c r="J594" s="49"/>
      <c r="K594" s="49"/>
      <c r="L594" s="49"/>
      <c r="M594" s="49"/>
      <c r="N594" s="49"/>
      <c r="O594" s="49"/>
      <c r="P594" s="49"/>
      <c r="Q594" s="49"/>
      <c r="R594" s="49"/>
      <c r="S594" s="49"/>
      <c r="T594" s="49"/>
      <c r="U594" s="49"/>
      <c r="V594" s="49"/>
      <c r="W594" s="49"/>
    </row>
    <row r="595" spans="1:23">
      <c r="A595" s="49"/>
      <c r="B595" s="49"/>
      <c r="C595" s="49"/>
      <c r="D595" s="49"/>
      <c r="E595" s="49"/>
      <c r="F595" s="49"/>
      <c r="G595" s="49"/>
      <c r="H595" s="49"/>
      <c r="I595" s="49"/>
      <c r="J595" s="49"/>
      <c r="K595" s="49"/>
      <c r="L595" s="49"/>
      <c r="M595" s="49"/>
      <c r="N595" s="49"/>
      <c r="O595" s="49"/>
      <c r="P595" s="49"/>
      <c r="Q595" s="49"/>
      <c r="R595" s="49"/>
      <c r="S595" s="49"/>
      <c r="T595" s="49"/>
      <c r="U595" s="49"/>
      <c r="V595" s="49"/>
      <c r="W595" s="49"/>
    </row>
    <row r="596" spans="1:23">
      <c r="A596" s="49"/>
      <c r="B596" s="49"/>
      <c r="C596" s="49"/>
      <c r="D596" s="49"/>
      <c r="E596" s="49"/>
      <c r="F596" s="49"/>
      <c r="G596" s="49"/>
      <c r="H596" s="49"/>
      <c r="I596" s="49"/>
      <c r="J596" s="49"/>
      <c r="K596" s="49"/>
      <c r="L596" s="49"/>
      <c r="M596" s="49"/>
      <c r="N596" s="49"/>
      <c r="O596" s="49"/>
      <c r="P596" s="49"/>
      <c r="Q596" s="49"/>
      <c r="R596" s="49"/>
      <c r="S596" s="49"/>
      <c r="T596" s="49"/>
      <c r="U596" s="49"/>
      <c r="V596" s="49"/>
      <c r="W596" s="49"/>
    </row>
    <row r="597" spans="1:23">
      <c r="A597" s="49"/>
      <c r="B597" s="49"/>
      <c r="C597" s="49"/>
      <c r="D597" s="49"/>
      <c r="E597" s="49"/>
      <c r="F597" s="49"/>
      <c r="G597" s="49"/>
      <c r="H597" s="49"/>
      <c r="I597" s="49"/>
      <c r="J597" s="49"/>
      <c r="K597" s="49"/>
      <c r="L597" s="49"/>
      <c r="M597" s="49"/>
      <c r="N597" s="49"/>
      <c r="O597" s="49"/>
      <c r="P597" s="49"/>
      <c r="Q597" s="49"/>
      <c r="R597" s="49"/>
      <c r="S597" s="49"/>
      <c r="T597" s="49"/>
      <c r="U597" s="49"/>
      <c r="V597" s="49"/>
      <c r="W597" s="49"/>
    </row>
    <row r="598" spans="1:23">
      <c r="A598" s="49"/>
      <c r="B598" s="49"/>
      <c r="C598" s="49"/>
      <c r="D598" s="49"/>
      <c r="E598" s="49"/>
      <c r="F598" s="49"/>
      <c r="G598" s="49"/>
      <c r="H598" s="49"/>
      <c r="I598" s="49"/>
      <c r="J598" s="49"/>
      <c r="K598" s="49"/>
      <c r="L598" s="49"/>
      <c r="M598" s="49"/>
      <c r="N598" s="49"/>
      <c r="O598" s="49"/>
      <c r="P598" s="49"/>
      <c r="Q598" s="49"/>
      <c r="R598" s="49"/>
      <c r="S598" s="49"/>
      <c r="T598" s="49"/>
      <c r="U598" s="49"/>
      <c r="V598" s="49"/>
      <c r="W598" s="49"/>
    </row>
    <row r="599" spans="1:23">
      <c r="A599" s="49"/>
      <c r="B599" s="49"/>
      <c r="C599" s="49"/>
      <c r="D599" s="49"/>
      <c r="E599" s="49"/>
      <c r="F599" s="49"/>
      <c r="G599" s="49"/>
      <c r="H599" s="49"/>
      <c r="I599" s="49"/>
      <c r="J599" s="49"/>
      <c r="K599" s="49"/>
      <c r="L599" s="49"/>
      <c r="M599" s="49"/>
      <c r="N599" s="49"/>
      <c r="O599" s="49"/>
      <c r="P599" s="49"/>
      <c r="Q599" s="49"/>
      <c r="R599" s="49"/>
      <c r="S599" s="49"/>
      <c r="T599" s="49"/>
      <c r="U599" s="49"/>
      <c r="V599" s="49"/>
      <c r="W599" s="49"/>
    </row>
    <row r="600" spans="1:23">
      <c r="A600" s="49"/>
      <c r="B600" s="49"/>
      <c r="C600" s="49"/>
      <c r="D600" s="49"/>
      <c r="E600" s="49"/>
      <c r="F600" s="49"/>
      <c r="G600" s="49"/>
      <c r="H600" s="49"/>
      <c r="I600" s="49"/>
      <c r="J600" s="49"/>
      <c r="K600" s="49"/>
      <c r="L600" s="49"/>
      <c r="M600" s="49"/>
      <c r="N600" s="49"/>
      <c r="O600" s="49"/>
      <c r="P600" s="49"/>
      <c r="Q600" s="49"/>
      <c r="R600" s="49"/>
      <c r="S600" s="49"/>
      <c r="T600" s="49"/>
      <c r="U600" s="49"/>
      <c r="V600" s="49"/>
      <c r="W600" s="49"/>
    </row>
    <row r="601" spans="1:23">
      <c r="A601" s="49"/>
      <c r="B601" s="49"/>
      <c r="C601" s="49"/>
      <c r="D601" s="49"/>
      <c r="E601" s="49"/>
      <c r="F601" s="49"/>
      <c r="G601" s="49"/>
      <c r="H601" s="49"/>
      <c r="I601" s="49"/>
      <c r="J601" s="49"/>
      <c r="K601" s="49"/>
      <c r="L601" s="49"/>
      <c r="M601" s="49"/>
      <c r="N601" s="49"/>
      <c r="O601" s="49"/>
      <c r="P601" s="49"/>
      <c r="Q601" s="49"/>
      <c r="R601" s="49"/>
      <c r="S601" s="49"/>
      <c r="T601" s="49"/>
      <c r="U601" s="49"/>
      <c r="V601" s="49"/>
      <c r="W601" s="49"/>
    </row>
    <row r="602" spans="1:23">
      <c r="A602" s="49"/>
      <c r="B602" s="49"/>
      <c r="C602" s="49"/>
      <c r="D602" s="49"/>
      <c r="E602" s="49"/>
      <c r="F602" s="49"/>
      <c r="G602" s="49"/>
      <c r="H602" s="49"/>
      <c r="I602" s="49"/>
      <c r="J602" s="49"/>
      <c r="K602" s="49"/>
      <c r="L602" s="49"/>
      <c r="M602" s="49"/>
      <c r="N602" s="49"/>
      <c r="O602" s="49"/>
      <c r="P602" s="49"/>
      <c r="Q602" s="49"/>
      <c r="R602" s="49"/>
      <c r="S602" s="49"/>
      <c r="T602" s="49"/>
      <c r="U602" s="49"/>
      <c r="V602" s="49"/>
      <c r="W602" s="49"/>
    </row>
    <row r="603" spans="1:23">
      <c r="A603" s="49"/>
      <c r="B603" s="49"/>
      <c r="C603" s="49"/>
      <c r="D603" s="49"/>
      <c r="E603" s="49"/>
      <c r="F603" s="49"/>
      <c r="G603" s="49"/>
      <c r="H603" s="49"/>
      <c r="I603" s="49"/>
      <c r="J603" s="49"/>
      <c r="K603" s="49"/>
      <c r="L603" s="49"/>
      <c r="M603" s="49"/>
      <c r="N603" s="49"/>
      <c r="O603" s="49"/>
      <c r="P603" s="49"/>
      <c r="Q603" s="49"/>
      <c r="R603" s="49"/>
      <c r="S603" s="49"/>
      <c r="T603" s="49"/>
      <c r="U603" s="49"/>
      <c r="V603" s="49"/>
      <c r="W603" s="49"/>
    </row>
    <row r="604" spans="1:23">
      <c r="A604" s="49"/>
      <c r="B604" s="49"/>
      <c r="C604" s="49"/>
      <c r="D604" s="49"/>
      <c r="E604" s="49"/>
      <c r="F604" s="49"/>
      <c r="G604" s="49"/>
      <c r="H604" s="49"/>
      <c r="I604" s="49"/>
      <c r="J604" s="49"/>
      <c r="K604" s="49"/>
      <c r="L604" s="49"/>
      <c r="M604" s="49"/>
      <c r="N604" s="49"/>
      <c r="O604" s="49"/>
      <c r="P604" s="49"/>
      <c r="Q604" s="49"/>
      <c r="R604" s="49"/>
      <c r="S604" s="49"/>
      <c r="T604" s="49"/>
      <c r="U604" s="49"/>
      <c r="V604" s="49"/>
      <c r="W604" s="49"/>
    </row>
    <row r="605" spans="1:23">
      <c r="A605" s="49"/>
      <c r="B605" s="49"/>
      <c r="C605" s="49"/>
      <c r="D605" s="49"/>
      <c r="E605" s="49"/>
      <c r="F605" s="49"/>
      <c r="G605" s="49"/>
      <c r="H605" s="49"/>
      <c r="I605" s="49"/>
      <c r="J605" s="49"/>
      <c r="K605" s="49"/>
      <c r="L605" s="49"/>
      <c r="M605" s="49"/>
      <c r="N605" s="49"/>
      <c r="O605" s="49"/>
      <c r="P605" s="49"/>
      <c r="Q605" s="49"/>
      <c r="R605" s="49"/>
      <c r="S605" s="49"/>
      <c r="T605" s="49"/>
      <c r="U605" s="49"/>
      <c r="V605" s="49"/>
      <c r="W605" s="49"/>
    </row>
    <row r="606" spans="1:23">
      <c r="A606" s="49"/>
      <c r="B606" s="49"/>
      <c r="C606" s="49"/>
      <c r="D606" s="49"/>
      <c r="E606" s="49"/>
      <c r="F606" s="49"/>
      <c r="G606" s="49"/>
      <c r="H606" s="49"/>
      <c r="I606" s="49"/>
      <c r="J606" s="49"/>
      <c r="K606" s="49"/>
      <c r="L606" s="49"/>
      <c r="M606" s="49"/>
      <c r="N606" s="49"/>
      <c r="O606" s="49"/>
      <c r="P606" s="49"/>
      <c r="Q606" s="49"/>
      <c r="R606" s="49"/>
      <c r="S606" s="49"/>
      <c r="T606" s="49"/>
      <c r="U606" s="49"/>
      <c r="V606" s="49"/>
      <c r="W606" s="49"/>
    </row>
    <row r="607" spans="1:23">
      <c r="A607" s="49"/>
      <c r="B607" s="49"/>
      <c r="C607" s="49"/>
      <c r="D607" s="49"/>
      <c r="E607" s="49"/>
      <c r="F607" s="49"/>
      <c r="G607" s="49"/>
      <c r="H607" s="49"/>
      <c r="I607" s="49"/>
      <c r="J607" s="49"/>
      <c r="K607" s="49"/>
      <c r="L607" s="49"/>
      <c r="M607" s="49"/>
      <c r="N607" s="49"/>
      <c r="O607" s="49"/>
      <c r="P607" s="49"/>
      <c r="Q607" s="49"/>
      <c r="R607" s="49"/>
      <c r="S607" s="49"/>
      <c r="T607" s="49"/>
      <c r="U607" s="49"/>
      <c r="V607" s="49"/>
      <c r="W607" s="49"/>
    </row>
    <row r="608" spans="1:23">
      <c r="A608" s="49"/>
      <c r="B608" s="49"/>
      <c r="C608" s="49"/>
      <c r="D608" s="49"/>
      <c r="E608" s="49"/>
      <c r="F608" s="49"/>
      <c r="G608" s="49"/>
      <c r="H608" s="49"/>
      <c r="I608" s="49"/>
      <c r="J608" s="49"/>
      <c r="K608" s="49"/>
      <c r="L608" s="49"/>
      <c r="M608" s="49"/>
      <c r="N608" s="49"/>
      <c r="O608" s="49"/>
      <c r="P608" s="49"/>
      <c r="Q608" s="49"/>
      <c r="R608" s="49"/>
      <c r="S608" s="49"/>
      <c r="T608" s="49"/>
      <c r="U608" s="49"/>
      <c r="V608" s="49"/>
      <c r="W608" s="49"/>
    </row>
    <row r="609" spans="1:23">
      <c r="A609" s="49"/>
      <c r="B609" s="49"/>
      <c r="C609" s="49"/>
      <c r="D609" s="49"/>
      <c r="E609" s="49"/>
      <c r="F609" s="49"/>
      <c r="G609" s="49"/>
      <c r="H609" s="49"/>
      <c r="I609" s="49"/>
      <c r="J609" s="49"/>
      <c r="K609" s="49"/>
      <c r="L609" s="49"/>
      <c r="M609" s="49"/>
      <c r="N609" s="49"/>
      <c r="O609" s="49"/>
      <c r="P609" s="49"/>
      <c r="Q609" s="49"/>
      <c r="R609" s="49"/>
      <c r="S609" s="49"/>
      <c r="T609" s="49"/>
      <c r="U609" s="49"/>
      <c r="V609" s="49"/>
      <c r="W609" s="49"/>
    </row>
    <row r="610" spans="1:23">
      <c r="A610" s="49"/>
      <c r="B610" s="49"/>
      <c r="C610" s="49"/>
      <c r="D610" s="49"/>
      <c r="E610" s="49"/>
      <c r="F610" s="49"/>
      <c r="G610" s="49"/>
      <c r="H610" s="49"/>
      <c r="I610" s="49"/>
      <c r="J610" s="49"/>
      <c r="K610" s="49"/>
      <c r="L610" s="49"/>
      <c r="M610" s="49"/>
      <c r="N610" s="49"/>
      <c r="O610" s="49"/>
      <c r="P610" s="49"/>
      <c r="Q610" s="49"/>
      <c r="R610" s="49"/>
      <c r="S610" s="49"/>
      <c r="T610" s="49"/>
      <c r="U610" s="49"/>
      <c r="V610" s="49"/>
      <c r="W610" s="49"/>
    </row>
    <row r="611" spans="1:23">
      <c r="A611" s="49"/>
      <c r="B611" s="49"/>
      <c r="C611" s="49"/>
      <c r="D611" s="49"/>
      <c r="E611" s="49"/>
      <c r="F611" s="49"/>
      <c r="G611" s="49"/>
      <c r="H611" s="49"/>
      <c r="I611" s="49"/>
      <c r="J611" s="49"/>
      <c r="K611" s="49"/>
      <c r="L611" s="49"/>
      <c r="M611" s="49"/>
      <c r="N611" s="49"/>
      <c r="O611" s="49"/>
      <c r="P611" s="49"/>
      <c r="Q611" s="49"/>
      <c r="R611" s="49"/>
      <c r="S611" s="49"/>
      <c r="T611" s="49"/>
      <c r="U611" s="49"/>
      <c r="V611" s="49"/>
      <c r="W611" s="49"/>
    </row>
    <row r="612" spans="1:23">
      <c r="A612" s="49"/>
      <c r="B612" s="49"/>
      <c r="C612" s="49"/>
      <c r="D612" s="49"/>
      <c r="E612" s="49"/>
      <c r="F612" s="49"/>
      <c r="G612" s="49"/>
      <c r="H612" s="49"/>
      <c r="I612" s="49"/>
      <c r="J612" s="49"/>
      <c r="K612" s="49"/>
      <c r="L612" s="49"/>
      <c r="M612" s="49"/>
      <c r="N612" s="49"/>
      <c r="O612" s="49"/>
      <c r="P612" s="49"/>
      <c r="Q612" s="49"/>
      <c r="R612" s="49"/>
      <c r="S612" s="49"/>
      <c r="T612" s="49"/>
      <c r="U612" s="49"/>
      <c r="V612" s="49"/>
      <c r="W612" s="49"/>
    </row>
    <row r="613" spans="1:23">
      <c r="A613" s="49"/>
      <c r="B613" s="49"/>
      <c r="C613" s="49"/>
      <c r="D613" s="49"/>
      <c r="E613" s="49"/>
      <c r="F613" s="49"/>
      <c r="G613" s="49"/>
      <c r="H613" s="49"/>
      <c r="I613" s="49"/>
      <c r="J613" s="49"/>
      <c r="K613" s="49"/>
      <c r="L613" s="49"/>
      <c r="M613" s="49"/>
      <c r="N613" s="49"/>
      <c r="O613" s="49"/>
      <c r="P613" s="49"/>
      <c r="Q613" s="49"/>
      <c r="R613" s="49"/>
      <c r="S613" s="49"/>
      <c r="T613" s="49"/>
      <c r="U613" s="49"/>
      <c r="V613" s="49"/>
      <c r="W613" s="49"/>
    </row>
    <row r="614" spans="1:23">
      <c r="A614" s="49"/>
      <c r="B614" s="49"/>
      <c r="C614" s="49"/>
      <c r="D614" s="49"/>
      <c r="E614" s="49"/>
      <c r="F614" s="49"/>
      <c r="G614" s="49"/>
      <c r="H614" s="49"/>
      <c r="I614" s="49"/>
      <c r="J614" s="49"/>
      <c r="K614" s="49"/>
      <c r="L614" s="49"/>
      <c r="M614" s="49"/>
      <c r="N614" s="49"/>
      <c r="O614" s="49"/>
      <c r="P614" s="49"/>
      <c r="Q614" s="49"/>
      <c r="R614" s="49"/>
      <c r="S614" s="49"/>
      <c r="T614" s="49"/>
      <c r="U614" s="49"/>
      <c r="V614" s="49"/>
      <c r="W614" s="49"/>
    </row>
    <row r="615" spans="1:23">
      <c r="A615" s="49"/>
      <c r="B615" s="49"/>
      <c r="C615" s="49"/>
      <c r="D615" s="49"/>
      <c r="E615" s="49"/>
      <c r="F615" s="49"/>
      <c r="G615" s="49"/>
      <c r="H615" s="49"/>
      <c r="I615" s="49"/>
      <c r="J615" s="49"/>
      <c r="K615" s="49"/>
      <c r="L615" s="49"/>
      <c r="M615" s="49"/>
      <c r="N615" s="49"/>
      <c r="O615" s="49"/>
      <c r="P615" s="49"/>
      <c r="Q615" s="49"/>
      <c r="R615" s="49"/>
      <c r="S615" s="49"/>
      <c r="T615" s="49"/>
      <c r="U615" s="49"/>
      <c r="V615" s="49"/>
      <c r="W615" s="49"/>
    </row>
    <row r="616" spans="1:23">
      <c r="A616" s="49"/>
      <c r="B616" s="49"/>
      <c r="C616" s="49"/>
      <c r="D616" s="49"/>
      <c r="E616" s="49"/>
      <c r="F616" s="49"/>
      <c r="G616" s="49"/>
      <c r="H616" s="49"/>
      <c r="I616" s="49"/>
      <c r="J616" s="49"/>
      <c r="K616" s="49"/>
      <c r="L616" s="49"/>
      <c r="M616" s="49"/>
      <c r="N616" s="49"/>
      <c r="O616" s="49"/>
      <c r="P616" s="49"/>
      <c r="Q616" s="49"/>
      <c r="R616" s="49"/>
      <c r="S616" s="49"/>
      <c r="T616" s="49"/>
      <c r="U616" s="49"/>
      <c r="V616" s="49"/>
      <c r="W616" s="49"/>
    </row>
    <row r="617" spans="1:23">
      <c r="A617" s="49"/>
      <c r="B617" s="49"/>
      <c r="C617" s="49"/>
      <c r="D617" s="49"/>
      <c r="E617" s="49"/>
      <c r="F617" s="49"/>
      <c r="G617" s="49"/>
      <c r="H617" s="49"/>
      <c r="I617" s="49"/>
      <c r="J617" s="49"/>
      <c r="K617" s="49"/>
      <c r="L617" s="49"/>
      <c r="M617" s="49"/>
      <c r="N617" s="49"/>
      <c r="O617" s="49"/>
      <c r="P617" s="49"/>
      <c r="Q617" s="49"/>
      <c r="R617" s="49"/>
      <c r="S617" s="49"/>
      <c r="T617" s="49"/>
      <c r="U617" s="49"/>
      <c r="V617" s="49"/>
      <c r="W617" s="49"/>
    </row>
    <row r="618" spans="1:23">
      <c r="A618" s="49"/>
      <c r="B618" s="49"/>
      <c r="C618" s="49"/>
      <c r="D618" s="49"/>
      <c r="E618" s="49"/>
      <c r="F618" s="49"/>
      <c r="G618" s="49"/>
      <c r="H618" s="49"/>
      <c r="I618" s="49"/>
      <c r="J618" s="49"/>
      <c r="K618" s="49"/>
      <c r="L618" s="49"/>
      <c r="M618" s="49"/>
      <c r="N618" s="49"/>
      <c r="O618" s="49"/>
      <c r="P618" s="49"/>
      <c r="Q618" s="49"/>
      <c r="R618" s="49"/>
      <c r="S618" s="49"/>
      <c r="T618" s="49"/>
      <c r="U618" s="49"/>
      <c r="V618" s="49"/>
      <c r="W618" s="49"/>
    </row>
    <row r="619" spans="1:23">
      <c r="A619" s="49"/>
      <c r="B619" s="49"/>
      <c r="C619" s="49"/>
      <c r="D619" s="49"/>
      <c r="E619" s="49"/>
      <c r="F619" s="49"/>
      <c r="G619" s="49"/>
      <c r="H619" s="49"/>
      <c r="I619" s="49"/>
      <c r="J619" s="49"/>
      <c r="K619" s="49"/>
      <c r="L619" s="49"/>
      <c r="M619" s="49"/>
      <c r="N619" s="49"/>
      <c r="O619" s="49"/>
      <c r="P619" s="49"/>
      <c r="Q619" s="49"/>
      <c r="R619" s="49"/>
      <c r="S619" s="49"/>
      <c r="T619" s="49"/>
      <c r="U619" s="49"/>
      <c r="V619" s="49"/>
      <c r="W619" s="49"/>
    </row>
    <row r="620" spans="1:23">
      <c r="A620" s="49"/>
      <c r="B620" s="49"/>
      <c r="C620" s="49"/>
      <c r="D620" s="49"/>
      <c r="E620" s="49"/>
      <c r="F620" s="49"/>
      <c r="G620" s="49"/>
      <c r="H620" s="49"/>
      <c r="I620" s="49"/>
      <c r="J620" s="49"/>
      <c r="K620" s="49"/>
      <c r="L620" s="49"/>
      <c r="M620" s="49"/>
      <c r="N620" s="49"/>
      <c r="O620" s="49"/>
      <c r="P620" s="49"/>
      <c r="Q620" s="49"/>
      <c r="R620" s="49"/>
      <c r="S620" s="49"/>
      <c r="T620" s="49"/>
      <c r="U620" s="49"/>
      <c r="V620" s="49"/>
      <c r="W620" s="49"/>
    </row>
    <row r="621" spans="1:23">
      <c r="A621" s="49"/>
      <c r="B621" s="49"/>
      <c r="C621" s="49"/>
      <c r="D621" s="49"/>
      <c r="E621" s="49"/>
      <c r="F621" s="49"/>
      <c r="G621" s="49"/>
      <c r="H621" s="49"/>
      <c r="I621" s="49"/>
      <c r="J621" s="49"/>
      <c r="K621" s="49"/>
      <c r="L621" s="49"/>
      <c r="M621" s="49"/>
      <c r="N621" s="49"/>
      <c r="O621" s="49"/>
      <c r="P621" s="49"/>
      <c r="Q621" s="49"/>
      <c r="R621" s="49"/>
      <c r="S621" s="49"/>
      <c r="T621" s="49"/>
      <c r="U621" s="49"/>
      <c r="V621" s="49"/>
      <c r="W621" s="49"/>
    </row>
    <row r="622" spans="1:23">
      <c r="A622" s="49"/>
      <c r="B622" s="49"/>
      <c r="C622" s="49"/>
      <c r="D622" s="49"/>
      <c r="E622" s="49"/>
      <c r="F622" s="49"/>
      <c r="G622" s="49"/>
      <c r="H622" s="49"/>
      <c r="I622" s="49"/>
      <c r="J622" s="49"/>
      <c r="K622" s="49"/>
      <c r="L622" s="49"/>
      <c r="M622" s="49"/>
      <c r="N622" s="49"/>
      <c r="O622" s="49"/>
      <c r="P622" s="49"/>
      <c r="Q622" s="49"/>
      <c r="R622" s="49"/>
      <c r="S622" s="49"/>
      <c r="T622" s="49"/>
      <c r="U622" s="49"/>
      <c r="V622" s="49"/>
      <c r="W622" s="49"/>
    </row>
    <row r="623" spans="1:23">
      <c r="A623" s="49"/>
      <c r="B623" s="49"/>
      <c r="C623" s="49"/>
      <c r="D623" s="49"/>
      <c r="E623" s="49"/>
      <c r="F623" s="49"/>
      <c r="G623" s="49"/>
      <c r="H623" s="49"/>
      <c r="I623" s="49"/>
      <c r="J623" s="49"/>
      <c r="K623" s="49"/>
      <c r="L623" s="49"/>
      <c r="M623" s="49"/>
      <c r="N623" s="49"/>
      <c r="O623" s="49"/>
      <c r="P623" s="49"/>
      <c r="Q623" s="49"/>
      <c r="R623" s="49"/>
      <c r="S623" s="49"/>
      <c r="T623" s="49"/>
      <c r="U623" s="49"/>
      <c r="V623" s="49"/>
      <c r="W623" s="49"/>
    </row>
    <row r="624" spans="1:23">
      <c r="A624" s="49"/>
      <c r="B624" s="49"/>
      <c r="C624" s="49"/>
      <c r="D624" s="49"/>
      <c r="E624" s="49"/>
      <c r="F624" s="49"/>
      <c r="G624" s="49"/>
      <c r="H624" s="49"/>
      <c r="I624" s="49"/>
      <c r="J624" s="49"/>
      <c r="K624" s="49"/>
      <c r="L624" s="49"/>
      <c r="M624" s="49"/>
      <c r="N624" s="49"/>
      <c r="O624" s="49"/>
      <c r="P624" s="49"/>
      <c r="Q624" s="49"/>
      <c r="R624" s="49"/>
      <c r="S624" s="49"/>
      <c r="T624" s="49"/>
      <c r="U624" s="49"/>
      <c r="V624" s="49"/>
      <c r="W624" s="49"/>
    </row>
    <row r="625" spans="1:23">
      <c r="A625" s="49"/>
      <c r="B625" s="49"/>
      <c r="C625" s="49"/>
      <c r="D625" s="49"/>
      <c r="E625" s="49"/>
      <c r="F625" s="49"/>
      <c r="G625" s="49"/>
      <c r="H625" s="49"/>
      <c r="I625" s="49"/>
      <c r="J625" s="49"/>
      <c r="K625" s="49"/>
      <c r="L625" s="49"/>
      <c r="M625" s="49"/>
      <c r="N625" s="49"/>
      <c r="O625" s="49"/>
      <c r="P625" s="49"/>
      <c r="Q625" s="49"/>
      <c r="R625" s="49"/>
      <c r="S625" s="49"/>
      <c r="T625" s="49"/>
      <c r="U625" s="49"/>
      <c r="V625" s="49"/>
      <c r="W625" s="49"/>
    </row>
    <row r="626" spans="1:23">
      <c r="A626" s="49"/>
      <c r="B626" s="49"/>
      <c r="C626" s="49"/>
      <c r="D626" s="49"/>
      <c r="E626" s="49"/>
      <c r="F626" s="49"/>
      <c r="G626" s="49"/>
      <c r="H626" s="49"/>
      <c r="I626" s="49"/>
      <c r="J626" s="49"/>
      <c r="K626" s="49"/>
      <c r="L626" s="49"/>
      <c r="M626" s="49"/>
      <c r="N626" s="49"/>
      <c r="O626" s="49"/>
      <c r="P626" s="49"/>
      <c r="Q626" s="49"/>
      <c r="R626" s="49"/>
      <c r="S626" s="49"/>
      <c r="T626" s="49"/>
      <c r="U626" s="49"/>
      <c r="V626" s="49"/>
      <c r="W626" s="49"/>
    </row>
    <row r="627" spans="1:23">
      <c r="A627" s="49"/>
      <c r="B627" s="49"/>
      <c r="C627" s="49"/>
      <c r="D627" s="49"/>
      <c r="E627" s="49"/>
      <c r="F627" s="49"/>
      <c r="G627" s="49"/>
      <c r="H627" s="49"/>
      <c r="I627" s="49"/>
      <c r="J627" s="49"/>
      <c r="K627" s="49"/>
      <c r="L627" s="49"/>
      <c r="M627" s="49"/>
      <c r="N627" s="49"/>
      <c r="O627" s="49"/>
      <c r="P627" s="49"/>
      <c r="Q627" s="49"/>
      <c r="R627" s="49"/>
      <c r="S627" s="49"/>
      <c r="T627" s="49"/>
      <c r="U627" s="49"/>
      <c r="V627" s="49"/>
      <c r="W627" s="49"/>
    </row>
    <row r="628" spans="1:23">
      <c r="A628" s="49"/>
      <c r="B628" s="49"/>
      <c r="C628" s="49"/>
      <c r="D628" s="49"/>
      <c r="E628" s="49"/>
      <c r="F628" s="49"/>
      <c r="G628" s="49"/>
      <c r="H628" s="49"/>
      <c r="I628" s="49"/>
      <c r="J628" s="49"/>
      <c r="K628" s="49"/>
      <c r="L628" s="49"/>
      <c r="M628" s="49"/>
      <c r="N628" s="49"/>
      <c r="O628" s="49"/>
      <c r="P628" s="49"/>
      <c r="Q628" s="49"/>
      <c r="R628" s="49"/>
      <c r="S628" s="49"/>
      <c r="T628" s="49"/>
      <c r="U628" s="49"/>
      <c r="V628" s="49"/>
      <c r="W628" s="49"/>
    </row>
    <row r="629" spans="1:23">
      <c r="A629" s="49"/>
      <c r="B629" s="49"/>
      <c r="C629" s="49"/>
      <c r="D629" s="49"/>
      <c r="E629" s="49"/>
      <c r="F629" s="49"/>
      <c r="G629" s="49"/>
      <c r="H629" s="49"/>
      <c r="I629" s="49"/>
      <c r="J629" s="49"/>
      <c r="K629" s="49"/>
      <c r="L629" s="49"/>
      <c r="M629" s="49"/>
      <c r="N629" s="49"/>
      <c r="O629" s="49"/>
      <c r="P629" s="49"/>
      <c r="Q629" s="49"/>
      <c r="R629" s="49"/>
      <c r="S629" s="49"/>
      <c r="T629" s="49"/>
      <c r="U629" s="49"/>
      <c r="V629" s="49"/>
      <c r="W629" s="49"/>
    </row>
    <row r="630" spans="1:23">
      <c r="A630" s="49"/>
      <c r="B630" s="49"/>
      <c r="C630" s="49"/>
      <c r="D630" s="49"/>
      <c r="E630" s="49"/>
      <c r="F630" s="49"/>
      <c r="G630" s="49"/>
      <c r="H630" s="49"/>
      <c r="I630" s="49"/>
      <c r="J630" s="49"/>
      <c r="K630" s="49"/>
      <c r="L630" s="49"/>
      <c r="M630" s="49"/>
      <c r="N630" s="49"/>
      <c r="O630" s="49"/>
      <c r="P630" s="49"/>
      <c r="Q630" s="49"/>
      <c r="R630" s="49"/>
      <c r="S630" s="49"/>
      <c r="T630" s="49"/>
      <c r="U630" s="49"/>
      <c r="V630" s="49"/>
      <c r="W630" s="49"/>
    </row>
    <row r="631" spans="1:23">
      <c r="A631" s="49"/>
      <c r="B631" s="49"/>
      <c r="C631" s="49"/>
      <c r="D631" s="49"/>
      <c r="E631" s="49"/>
      <c r="F631" s="49"/>
      <c r="G631" s="49"/>
      <c r="H631" s="49"/>
      <c r="I631" s="49"/>
      <c r="J631" s="49"/>
      <c r="K631" s="49"/>
      <c r="L631" s="49"/>
      <c r="M631" s="49"/>
      <c r="N631" s="49"/>
      <c r="O631" s="49"/>
      <c r="P631" s="49"/>
      <c r="Q631" s="49"/>
      <c r="R631" s="49"/>
      <c r="S631" s="49"/>
      <c r="T631" s="49"/>
      <c r="U631" s="49"/>
      <c r="V631" s="49"/>
      <c r="W631" s="49"/>
    </row>
    <row r="632" spans="1:23">
      <c r="A632" s="49"/>
      <c r="B632" s="49"/>
      <c r="C632" s="49"/>
      <c r="D632" s="49"/>
      <c r="E632" s="49"/>
      <c r="F632" s="49"/>
      <c r="G632" s="49"/>
      <c r="H632" s="49"/>
      <c r="I632" s="49"/>
      <c r="J632" s="49"/>
      <c r="K632" s="49"/>
      <c r="L632" s="49"/>
      <c r="M632" s="49"/>
      <c r="N632" s="49"/>
      <c r="O632" s="49"/>
      <c r="P632" s="49"/>
      <c r="Q632" s="49"/>
      <c r="R632" s="49"/>
      <c r="S632" s="49"/>
      <c r="T632" s="49"/>
      <c r="U632" s="49"/>
      <c r="V632" s="49"/>
      <c r="W632" s="49"/>
    </row>
    <row r="633" spans="1:23">
      <c r="A633" s="49"/>
      <c r="B633" s="49"/>
      <c r="C633" s="49"/>
      <c r="D633" s="49"/>
      <c r="E633" s="49"/>
      <c r="F633" s="49"/>
      <c r="G633" s="49"/>
      <c r="H633" s="49"/>
      <c r="I633" s="49"/>
      <c r="J633" s="49"/>
      <c r="K633" s="49"/>
      <c r="L633" s="49"/>
      <c r="M633" s="49"/>
      <c r="N633" s="49"/>
      <c r="O633" s="49"/>
      <c r="P633" s="49"/>
      <c r="Q633" s="49"/>
      <c r="R633" s="49"/>
      <c r="S633" s="49"/>
      <c r="T633" s="49"/>
      <c r="U633" s="49"/>
      <c r="V633" s="49"/>
      <c r="W633" s="49"/>
    </row>
    <row r="634" spans="1:23">
      <c r="A634" s="49"/>
      <c r="B634" s="49"/>
      <c r="C634" s="49"/>
      <c r="D634" s="49"/>
      <c r="E634" s="49"/>
      <c r="F634" s="49"/>
      <c r="G634" s="49"/>
      <c r="H634" s="49"/>
      <c r="I634" s="49"/>
      <c r="J634" s="49"/>
      <c r="K634" s="49"/>
      <c r="L634" s="49"/>
      <c r="M634" s="49"/>
      <c r="N634" s="49"/>
      <c r="O634" s="49"/>
      <c r="P634" s="49"/>
      <c r="Q634" s="49"/>
      <c r="R634" s="49"/>
      <c r="S634" s="49"/>
      <c r="T634" s="49"/>
      <c r="U634" s="49"/>
      <c r="V634" s="49"/>
      <c r="W634" s="49"/>
    </row>
    <row r="635" spans="1:23">
      <c r="A635" s="49"/>
      <c r="B635" s="49"/>
      <c r="C635" s="49"/>
      <c r="D635" s="49"/>
      <c r="E635" s="49"/>
      <c r="F635" s="49"/>
      <c r="G635" s="49"/>
      <c r="H635" s="49"/>
      <c r="I635" s="49"/>
      <c r="J635" s="49"/>
      <c r="K635" s="49"/>
      <c r="L635" s="49"/>
      <c r="M635" s="49"/>
      <c r="N635" s="49"/>
      <c r="O635" s="49"/>
      <c r="P635" s="49"/>
      <c r="Q635" s="49"/>
      <c r="R635" s="49"/>
      <c r="S635" s="49"/>
      <c r="T635" s="49"/>
      <c r="U635" s="49"/>
      <c r="V635" s="49"/>
      <c r="W635" s="49"/>
    </row>
    <row r="636" spans="1:23">
      <c r="A636" s="49"/>
      <c r="B636" s="49"/>
      <c r="C636" s="49"/>
      <c r="D636" s="49"/>
      <c r="E636" s="49"/>
      <c r="F636" s="49"/>
      <c r="G636" s="49"/>
      <c r="H636" s="49"/>
      <c r="I636" s="49"/>
      <c r="J636" s="49"/>
      <c r="K636" s="49"/>
      <c r="L636" s="49"/>
      <c r="M636" s="49"/>
      <c r="N636" s="49"/>
      <c r="O636" s="49"/>
      <c r="P636" s="49"/>
      <c r="Q636" s="49"/>
      <c r="R636" s="49"/>
      <c r="S636" s="49"/>
      <c r="T636" s="49"/>
      <c r="U636" s="49"/>
      <c r="V636" s="49"/>
      <c r="W636" s="49"/>
    </row>
    <row r="637" spans="1:23">
      <c r="A637" s="49"/>
      <c r="B637" s="49"/>
      <c r="C637" s="49"/>
      <c r="D637" s="49"/>
      <c r="E637" s="49"/>
      <c r="F637" s="49"/>
      <c r="G637" s="49"/>
      <c r="H637" s="49"/>
      <c r="I637" s="49"/>
      <c r="J637" s="49"/>
      <c r="K637" s="49"/>
      <c r="L637" s="49"/>
      <c r="M637" s="49"/>
      <c r="N637" s="49"/>
      <c r="O637" s="49"/>
      <c r="P637" s="49"/>
      <c r="Q637" s="49"/>
      <c r="R637" s="49"/>
      <c r="S637" s="49"/>
      <c r="T637" s="49"/>
      <c r="U637" s="49"/>
      <c r="V637" s="49"/>
      <c r="W637" s="49"/>
    </row>
    <row r="638" spans="1:23">
      <c r="A638" s="49"/>
      <c r="B638" s="49"/>
      <c r="C638" s="49"/>
      <c r="D638" s="49"/>
      <c r="E638" s="49"/>
      <c r="F638" s="49"/>
      <c r="G638" s="49"/>
      <c r="H638" s="49"/>
      <c r="I638" s="49"/>
      <c r="J638" s="49"/>
      <c r="K638" s="49"/>
      <c r="L638" s="49"/>
      <c r="M638" s="49"/>
      <c r="N638" s="49"/>
      <c r="O638" s="49"/>
      <c r="P638" s="49"/>
      <c r="Q638" s="49"/>
      <c r="R638" s="49"/>
      <c r="S638" s="49"/>
      <c r="T638" s="49"/>
      <c r="U638" s="49"/>
      <c r="V638" s="49"/>
      <c r="W638" s="49"/>
    </row>
    <row r="639" spans="1:23">
      <c r="A639" s="49"/>
      <c r="B639" s="49"/>
      <c r="C639" s="49"/>
      <c r="D639" s="49"/>
      <c r="E639" s="49"/>
      <c r="F639" s="49"/>
      <c r="G639" s="49"/>
      <c r="H639" s="49"/>
      <c r="I639" s="49"/>
      <c r="J639" s="49"/>
      <c r="K639" s="49"/>
      <c r="L639" s="49"/>
      <c r="M639" s="49"/>
      <c r="N639" s="49"/>
      <c r="O639" s="49"/>
      <c r="P639" s="49"/>
      <c r="Q639" s="49"/>
      <c r="R639" s="49"/>
      <c r="S639" s="49"/>
      <c r="T639" s="49"/>
      <c r="U639" s="49"/>
      <c r="V639" s="49"/>
      <c r="W639" s="49"/>
    </row>
    <row r="640" spans="1:23">
      <c r="A640" s="49"/>
      <c r="B640" s="49"/>
      <c r="C640" s="49"/>
      <c r="D640" s="49"/>
      <c r="E640" s="49"/>
      <c r="F640" s="49"/>
      <c r="G640" s="49"/>
      <c r="H640" s="49"/>
      <c r="I640" s="49"/>
      <c r="J640" s="49"/>
      <c r="K640" s="49"/>
      <c r="L640" s="49"/>
      <c r="M640" s="49"/>
      <c r="N640" s="49"/>
      <c r="O640" s="49"/>
      <c r="P640" s="49"/>
      <c r="Q640" s="49"/>
      <c r="R640" s="49"/>
      <c r="S640" s="49"/>
      <c r="T640" s="49"/>
      <c r="U640" s="49"/>
      <c r="V640" s="49"/>
      <c r="W640" s="49"/>
    </row>
    <row r="641" spans="1:23">
      <c r="A641" s="49"/>
      <c r="B641" s="49"/>
      <c r="C641" s="49"/>
      <c r="D641" s="49"/>
      <c r="E641" s="49"/>
      <c r="F641" s="49"/>
      <c r="G641" s="49"/>
      <c r="H641" s="49"/>
      <c r="I641" s="49"/>
      <c r="J641" s="49"/>
      <c r="K641" s="49"/>
      <c r="L641" s="49"/>
      <c r="M641" s="49"/>
      <c r="N641" s="49"/>
      <c r="O641" s="49"/>
      <c r="P641" s="49"/>
      <c r="Q641" s="49"/>
      <c r="R641" s="49"/>
      <c r="S641" s="49"/>
      <c r="T641" s="49"/>
      <c r="U641" s="49"/>
      <c r="V641" s="49"/>
      <c r="W641" s="49"/>
    </row>
    <row r="642" spans="1:23">
      <c r="A642" s="49"/>
      <c r="B642" s="49"/>
      <c r="C642" s="49"/>
      <c r="D642" s="49"/>
      <c r="E642" s="49"/>
      <c r="F642" s="49"/>
      <c r="G642" s="49"/>
      <c r="H642" s="49"/>
      <c r="I642" s="49"/>
      <c r="J642" s="49"/>
      <c r="K642" s="49"/>
      <c r="L642" s="49"/>
      <c r="M642" s="49"/>
      <c r="N642" s="49"/>
      <c r="O642" s="49"/>
      <c r="P642" s="49"/>
      <c r="Q642" s="49"/>
      <c r="R642" s="49"/>
      <c r="S642" s="49"/>
      <c r="T642" s="49"/>
      <c r="U642" s="49"/>
      <c r="V642" s="49"/>
      <c r="W642" s="49"/>
    </row>
    <row r="643" spans="1:23">
      <c r="A643" s="49"/>
      <c r="B643" s="49"/>
      <c r="C643" s="49"/>
      <c r="D643" s="49"/>
      <c r="E643" s="49"/>
      <c r="F643" s="49"/>
      <c r="G643" s="49"/>
      <c r="H643" s="49"/>
      <c r="I643" s="49"/>
      <c r="J643" s="49"/>
      <c r="K643" s="49"/>
      <c r="L643" s="49"/>
      <c r="M643" s="49"/>
      <c r="N643" s="49"/>
      <c r="O643" s="49"/>
      <c r="P643" s="49"/>
      <c r="Q643" s="49"/>
      <c r="R643" s="49"/>
      <c r="S643" s="49"/>
      <c r="T643" s="49"/>
      <c r="U643" s="49"/>
      <c r="V643" s="49"/>
      <c r="W643" s="49"/>
    </row>
    <row r="644" spans="1:23">
      <c r="A644" s="49"/>
      <c r="B644" s="49"/>
      <c r="C644" s="49"/>
      <c r="D644" s="49"/>
      <c r="E644" s="49"/>
      <c r="F644" s="49"/>
      <c r="G644" s="49"/>
      <c r="H644" s="49"/>
      <c r="I644" s="49"/>
      <c r="J644" s="49"/>
      <c r="K644" s="49"/>
      <c r="L644" s="49"/>
      <c r="M644" s="49"/>
      <c r="N644" s="49"/>
      <c r="O644" s="49"/>
      <c r="P644" s="49"/>
      <c r="Q644" s="49"/>
      <c r="R644" s="49"/>
      <c r="S644" s="49"/>
      <c r="T644" s="49"/>
      <c r="U644" s="49"/>
      <c r="V644" s="49"/>
      <c r="W644" s="49"/>
    </row>
    <row r="645" spans="1:23">
      <c r="A645" s="49"/>
      <c r="B645" s="49"/>
      <c r="C645" s="49"/>
      <c r="D645" s="49"/>
      <c r="E645" s="49"/>
      <c r="F645" s="49"/>
      <c r="G645" s="49"/>
      <c r="H645" s="49"/>
      <c r="I645" s="49"/>
      <c r="J645" s="49"/>
      <c r="K645" s="49"/>
      <c r="L645" s="49"/>
      <c r="M645" s="49"/>
      <c r="N645" s="49"/>
      <c r="O645" s="49"/>
      <c r="P645" s="49"/>
      <c r="Q645" s="49"/>
      <c r="R645" s="49"/>
      <c r="S645" s="49"/>
      <c r="T645" s="49"/>
      <c r="U645" s="49"/>
      <c r="V645" s="49"/>
      <c r="W645" s="49"/>
    </row>
    <row r="646" spans="1:23">
      <c r="A646" s="49"/>
      <c r="B646" s="49"/>
      <c r="C646" s="49"/>
      <c r="D646" s="49"/>
      <c r="E646" s="49"/>
      <c r="F646" s="49"/>
      <c r="G646" s="49"/>
      <c r="H646" s="49"/>
      <c r="I646" s="49"/>
      <c r="J646" s="49"/>
      <c r="K646" s="49"/>
      <c r="L646" s="49"/>
      <c r="M646" s="49"/>
      <c r="N646" s="49"/>
      <c r="O646" s="49"/>
      <c r="P646" s="49"/>
      <c r="Q646" s="49"/>
      <c r="R646" s="49"/>
      <c r="S646" s="49"/>
      <c r="T646" s="49"/>
      <c r="U646" s="49"/>
      <c r="V646" s="49"/>
      <c r="W646" s="49"/>
    </row>
    <row r="647" spans="1:23">
      <c r="A647" s="49"/>
      <c r="B647" s="49"/>
      <c r="C647" s="49"/>
      <c r="D647" s="49"/>
      <c r="E647" s="49"/>
      <c r="F647" s="49"/>
      <c r="G647" s="49"/>
      <c r="H647" s="49"/>
      <c r="I647" s="49"/>
      <c r="J647" s="49"/>
      <c r="K647" s="49"/>
      <c r="L647" s="49"/>
      <c r="M647" s="49"/>
      <c r="N647" s="49"/>
      <c r="O647" s="49"/>
      <c r="P647" s="49"/>
      <c r="Q647" s="49"/>
      <c r="R647" s="49"/>
      <c r="S647" s="49"/>
      <c r="T647" s="49"/>
      <c r="U647" s="49"/>
      <c r="V647" s="49"/>
      <c r="W647" s="49"/>
    </row>
    <row r="648" spans="1:23">
      <c r="A648" s="49"/>
      <c r="B648" s="49"/>
      <c r="C648" s="49"/>
      <c r="D648" s="49"/>
      <c r="E648" s="49"/>
      <c r="F648" s="49"/>
      <c r="G648" s="49"/>
      <c r="H648" s="49"/>
      <c r="I648" s="49"/>
      <c r="J648" s="49"/>
      <c r="K648" s="49"/>
      <c r="L648" s="49"/>
      <c r="M648" s="49"/>
      <c r="N648" s="49"/>
      <c r="O648" s="49"/>
      <c r="P648" s="49"/>
      <c r="Q648" s="49"/>
      <c r="R648" s="49"/>
      <c r="S648" s="49"/>
      <c r="T648" s="49"/>
      <c r="U648" s="49"/>
      <c r="V648" s="49"/>
      <c r="W648" s="49"/>
    </row>
    <row r="649" spans="1:23">
      <c r="A649" s="49"/>
      <c r="B649" s="49"/>
      <c r="C649" s="49"/>
      <c r="D649" s="49"/>
      <c r="E649" s="49"/>
      <c r="F649" s="49"/>
      <c r="G649" s="49"/>
      <c r="H649" s="49"/>
      <c r="I649" s="49"/>
      <c r="J649" s="49"/>
      <c r="K649" s="49"/>
      <c r="L649" s="49"/>
      <c r="M649" s="49"/>
      <c r="N649" s="49"/>
      <c r="O649" s="49"/>
      <c r="P649" s="49"/>
      <c r="Q649" s="49"/>
      <c r="R649" s="49"/>
      <c r="S649" s="49"/>
      <c r="T649" s="49"/>
      <c r="U649" s="49"/>
      <c r="V649" s="49"/>
      <c r="W649" s="49"/>
    </row>
    <row r="650" spans="1:23">
      <c r="A650" s="49"/>
      <c r="B650" s="49"/>
      <c r="C650" s="49"/>
      <c r="D650" s="49"/>
      <c r="E650" s="49"/>
      <c r="F650" s="49"/>
      <c r="G650" s="49"/>
      <c r="H650" s="49"/>
      <c r="I650" s="49"/>
      <c r="J650" s="49"/>
      <c r="K650" s="49"/>
      <c r="L650" s="49"/>
      <c r="M650" s="49"/>
      <c r="N650" s="49"/>
      <c r="O650" s="49"/>
      <c r="P650" s="49"/>
      <c r="Q650" s="49"/>
      <c r="R650" s="49"/>
      <c r="S650" s="49"/>
      <c r="T650" s="49"/>
      <c r="U650" s="49"/>
      <c r="V650" s="49"/>
      <c r="W650" s="49"/>
    </row>
    <row r="651" spans="1:23">
      <c r="A651" s="49"/>
      <c r="B651" s="49"/>
      <c r="C651" s="49"/>
      <c r="D651" s="49"/>
      <c r="E651" s="49"/>
      <c r="F651" s="49"/>
      <c r="G651" s="49"/>
      <c r="H651" s="49"/>
      <c r="I651" s="49"/>
      <c r="J651" s="49"/>
      <c r="K651" s="49"/>
      <c r="L651" s="49"/>
      <c r="M651" s="49"/>
      <c r="N651" s="49"/>
      <c r="O651" s="49"/>
      <c r="P651" s="49"/>
      <c r="Q651" s="49"/>
      <c r="R651" s="49"/>
      <c r="S651" s="49"/>
      <c r="T651" s="49"/>
      <c r="U651" s="49"/>
      <c r="V651" s="49"/>
      <c r="W651" s="49"/>
    </row>
    <row r="652" spans="1:23">
      <c r="A652" s="49"/>
      <c r="B652" s="49"/>
      <c r="C652" s="49"/>
      <c r="D652" s="49"/>
      <c r="E652" s="49"/>
      <c r="F652" s="49"/>
      <c r="G652" s="49"/>
      <c r="H652" s="49"/>
      <c r="I652" s="49"/>
      <c r="J652" s="49"/>
      <c r="K652" s="49"/>
      <c r="L652" s="49"/>
      <c r="M652" s="49"/>
      <c r="N652" s="49"/>
      <c r="O652" s="49"/>
      <c r="P652" s="49"/>
      <c r="Q652" s="49"/>
      <c r="R652" s="49"/>
      <c r="S652" s="49"/>
      <c r="T652" s="49"/>
      <c r="U652" s="49"/>
      <c r="V652" s="49"/>
      <c r="W652" s="49"/>
    </row>
    <row r="653" spans="1:23">
      <c r="A653" s="49"/>
      <c r="B653" s="49"/>
      <c r="C653" s="49"/>
      <c r="D653" s="49"/>
      <c r="E653" s="49"/>
      <c r="F653" s="49"/>
      <c r="G653" s="49"/>
      <c r="H653" s="49"/>
      <c r="I653" s="49"/>
      <c r="J653" s="49"/>
      <c r="K653" s="49"/>
      <c r="L653" s="49"/>
      <c r="M653" s="49"/>
      <c r="N653" s="49"/>
      <c r="O653" s="49"/>
      <c r="P653" s="49"/>
      <c r="Q653" s="49"/>
      <c r="R653" s="49"/>
      <c r="S653" s="49"/>
      <c r="T653" s="49"/>
      <c r="U653" s="49"/>
      <c r="V653" s="49"/>
      <c r="W653" s="49"/>
    </row>
    <row r="654" spans="1:23">
      <c r="A654" s="49"/>
      <c r="B654" s="49"/>
      <c r="C654" s="49"/>
      <c r="D654" s="49"/>
      <c r="E654" s="49"/>
      <c r="F654" s="49"/>
      <c r="G654" s="49"/>
      <c r="H654" s="49"/>
      <c r="I654" s="49"/>
      <c r="J654" s="49"/>
      <c r="K654" s="49"/>
      <c r="L654" s="49"/>
      <c r="M654" s="49"/>
      <c r="N654" s="49"/>
      <c r="O654" s="49"/>
      <c r="P654" s="49"/>
      <c r="Q654" s="49"/>
      <c r="R654" s="49"/>
      <c r="S654" s="49"/>
      <c r="T654" s="49"/>
      <c r="U654" s="49"/>
      <c r="V654" s="49"/>
      <c r="W654" s="49"/>
    </row>
    <row r="655" spans="1:23">
      <c r="A655" s="49"/>
      <c r="B655" s="49"/>
      <c r="C655" s="49"/>
      <c r="D655" s="49"/>
      <c r="E655" s="49"/>
      <c r="F655" s="49"/>
      <c r="G655" s="49"/>
      <c r="H655" s="49"/>
      <c r="I655" s="49"/>
      <c r="J655" s="49"/>
      <c r="K655" s="49"/>
      <c r="L655" s="49"/>
      <c r="M655" s="49"/>
      <c r="N655" s="49"/>
      <c r="O655" s="49"/>
      <c r="P655" s="49"/>
      <c r="Q655" s="49"/>
      <c r="R655" s="49"/>
      <c r="S655" s="49"/>
      <c r="T655" s="49"/>
      <c r="U655" s="49"/>
      <c r="V655" s="49"/>
      <c r="W655" s="49"/>
    </row>
    <row r="656" spans="1:23">
      <c r="A656" s="49"/>
      <c r="B656" s="49"/>
      <c r="C656" s="49"/>
      <c r="D656" s="49"/>
      <c r="E656" s="49"/>
      <c r="F656" s="49"/>
      <c r="G656" s="49"/>
      <c r="H656" s="49"/>
      <c r="I656" s="49"/>
      <c r="J656" s="49"/>
      <c r="K656" s="49"/>
      <c r="L656" s="49"/>
      <c r="M656" s="49"/>
      <c r="N656" s="49"/>
      <c r="O656" s="49"/>
      <c r="P656" s="49"/>
      <c r="Q656" s="49"/>
      <c r="R656" s="49"/>
      <c r="S656" s="49"/>
      <c r="T656" s="49"/>
      <c r="U656" s="49"/>
      <c r="V656" s="49"/>
      <c r="W656" s="49"/>
    </row>
    <row r="657" spans="1:23">
      <c r="A657" s="49"/>
      <c r="B657" s="49"/>
      <c r="C657" s="49"/>
      <c r="D657" s="49"/>
      <c r="E657" s="49"/>
      <c r="F657" s="49"/>
      <c r="G657" s="49"/>
      <c r="H657" s="49"/>
      <c r="I657" s="49"/>
      <c r="J657" s="49"/>
      <c r="K657" s="49"/>
      <c r="L657" s="49"/>
      <c r="M657" s="49"/>
      <c r="N657" s="49"/>
      <c r="O657" s="49"/>
      <c r="P657" s="49"/>
      <c r="Q657" s="49"/>
      <c r="R657" s="49"/>
      <c r="S657" s="49"/>
      <c r="T657" s="49"/>
      <c r="U657" s="49"/>
      <c r="V657" s="49"/>
      <c r="W657" s="49"/>
    </row>
    <row r="658" spans="1:23">
      <c r="A658" s="49"/>
      <c r="B658" s="49"/>
      <c r="C658" s="49"/>
      <c r="D658" s="49"/>
      <c r="E658" s="49"/>
      <c r="F658" s="49"/>
      <c r="G658" s="49"/>
      <c r="H658" s="49"/>
      <c r="I658" s="49"/>
      <c r="J658" s="49"/>
      <c r="K658" s="49"/>
      <c r="L658" s="49"/>
      <c r="M658" s="49"/>
      <c r="N658" s="49"/>
      <c r="O658" s="49"/>
      <c r="P658" s="49"/>
      <c r="Q658" s="49"/>
      <c r="R658" s="49"/>
      <c r="S658" s="49"/>
      <c r="T658" s="49"/>
      <c r="U658" s="49"/>
      <c r="V658" s="49"/>
      <c r="W658" s="49"/>
    </row>
    <row r="659" spans="1:23">
      <c r="A659" s="49"/>
      <c r="B659" s="49"/>
      <c r="C659" s="49"/>
      <c r="D659" s="49"/>
      <c r="E659" s="49"/>
      <c r="F659" s="49"/>
      <c r="G659" s="49"/>
      <c r="H659" s="49"/>
      <c r="I659" s="49"/>
      <c r="J659" s="49"/>
      <c r="K659" s="49"/>
      <c r="L659" s="49"/>
      <c r="M659" s="49"/>
      <c r="N659" s="49"/>
      <c r="O659" s="49"/>
      <c r="P659" s="49"/>
      <c r="Q659" s="49"/>
      <c r="R659" s="49"/>
      <c r="S659" s="49"/>
      <c r="T659" s="49"/>
      <c r="U659" s="49"/>
      <c r="V659" s="49"/>
      <c r="W659" s="49"/>
    </row>
    <row r="660" spans="1:23">
      <c r="A660" s="49"/>
      <c r="B660" s="49"/>
      <c r="C660" s="49"/>
      <c r="D660" s="49"/>
      <c r="E660" s="49"/>
      <c r="F660" s="49"/>
      <c r="G660" s="49"/>
      <c r="H660" s="49"/>
      <c r="I660" s="49"/>
      <c r="J660" s="49"/>
      <c r="K660" s="49"/>
      <c r="L660" s="49"/>
      <c r="M660" s="49"/>
      <c r="N660" s="49"/>
      <c r="O660" s="49"/>
      <c r="P660" s="49"/>
      <c r="Q660" s="49"/>
      <c r="R660" s="49"/>
      <c r="S660" s="49"/>
      <c r="T660" s="49"/>
      <c r="U660" s="49"/>
      <c r="V660" s="49"/>
      <c r="W660" s="49"/>
    </row>
    <row r="661" spans="1:23">
      <c r="A661" s="49"/>
      <c r="B661" s="49"/>
      <c r="C661" s="49"/>
      <c r="D661" s="49"/>
      <c r="E661" s="49"/>
      <c r="F661" s="49"/>
      <c r="G661" s="49"/>
      <c r="H661" s="49"/>
      <c r="I661" s="49"/>
      <c r="J661" s="49"/>
      <c r="K661" s="49"/>
      <c r="L661" s="49"/>
      <c r="M661" s="49"/>
      <c r="N661" s="49"/>
      <c r="O661" s="49"/>
      <c r="P661" s="49"/>
      <c r="Q661" s="49"/>
      <c r="R661" s="49"/>
      <c r="S661" s="49"/>
      <c r="T661" s="49"/>
      <c r="U661" s="49"/>
      <c r="V661" s="49"/>
      <c r="W661" s="49"/>
    </row>
    <row r="662" spans="1:23">
      <c r="A662" s="49"/>
      <c r="B662" s="49"/>
      <c r="C662" s="49"/>
      <c r="D662" s="49"/>
      <c r="E662" s="49"/>
      <c r="F662" s="49"/>
      <c r="G662" s="49"/>
      <c r="H662" s="49"/>
      <c r="I662" s="49"/>
      <c r="J662" s="49"/>
      <c r="K662" s="49"/>
      <c r="L662" s="49"/>
      <c r="M662" s="49"/>
      <c r="N662" s="49"/>
      <c r="O662" s="49"/>
      <c r="P662" s="49"/>
      <c r="Q662" s="49"/>
      <c r="R662" s="49"/>
      <c r="S662" s="49"/>
      <c r="T662" s="49"/>
      <c r="U662" s="49"/>
      <c r="V662" s="49"/>
      <c r="W662" s="49"/>
    </row>
    <row r="663" spans="1:23">
      <c r="A663" s="49"/>
      <c r="B663" s="49"/>
      <c r="C663" s="49"/>
      <c r="D663" s="49"/>
      <c r="E663" s="49"/>
      <c r="F663" s="49"/>
      <c r="G663" s="49"/>
      <c r="H663" s="49"/>
      <c r="I663" s="49"/>
      <c r="J663" s="49"/>
      <c r="K663" s="49"/>
      <c r="L663" s="49"/>
      <c r="M663" s="49"/>
      <c r="N663" s="49"/>
      <c r="O663" s="49"/>
      <c r="P663" s="49"/>
      <c r="Q663" s="49"/>
      <c r="R663" s="49"/>
      <c r="S663" s="49"/>
      <c r="T663" s="49"/>
      <c r="U663" s="49"/>
      <c r="V663" s="49"/>
      <c r="W663" s="49"/>
    </row>
    <row r="664" spans="1:23">
      <c r="A664" s="49"/>
      <c r="B664" s="49"/>
      <c r="C664" s="49"/>
      <c r="D664" s="49"/>
      <c r="E664" s="49"/>
      <c r="F664" s="49"/>
      <c r="G664" s="49"/>
      <c r="H664" s="49"/>
      <c r="I664" s="49"/>
      <c r="J664" s="49"/>
      <c r="K664" s="49"/>
      <c r="L664" s="49"/>
      <c r="M664" s="49"/>
      <c r="N664" s="49"/>
      <c r="O664" s="49"/>
      <c r="P664" s="49"/>
      <c r="Q664" s="49"/>
      <c r="R664" s="49"/>
      <c r="S664" s="49"/>
      <c r="T664" s="49"/>
      <c r="U664" s="49"/>
      <c r="V664" s="49"/>
      <c r="W664" s="49"/>
    </row>
    <row r="665" spans="1:23">
      <c r="A665" s="49"/>
      <c r="B665" s="49"/>
      <c r="C665" s="49"/>
      <c r="D665" s="49"/>
      <c r="E665" s="49"/>
      <c r="F665" s="49"/>
      <c r="G665" s="49"/>
      <c r="H665" s="49"/>
      <c r="I665" s="49"/>
      <c r="J665" s="49"/>
      <c r="K665" s="49"/>
      <c r="L665" s="49"/>
      <c r="M665" s="49"/>
      <c r="N665" s="49"/>
      <c r="O665" s="49"/>
      <c r="P665" s="49"/>
      <c r="Q665" s="49"/>
      <c r="R665" s="49"/>
      <c r="S665" s="49"/>
      <c r="T665" s="49"/>
      <c r="U665" s="49"/>
      <c r="V665" s="49"/>
      <c r="W665" s="49"/>
    </row>
    <row r="666" spans="1:23">
      <c r="A666" s="49"/>
      <c r="B666" s="49"/>
      <c r="C666" s="49"/>
      <c r="D666" s="49"/>
      <c r="E666" s="49"/>
      <c r="F666" s="49"/>
      <c r="G666" s="49"/>
      <c r="H666" s="49"/>
      <c r="I666" s="49"/>
      <c r="J666" s="49"/>
      <c r="K666" s="49"/>
      <c r="L666" s="49"/>
      <c r="M666" s="49"/>
      <c r="N666" s="49"/>
      <c r="O666" s="49"/>
      <c r="P666" s="49"/>
      <c r="Q666" s="49"/>
      <c r="R666" s="49"/>
      <c r="S666" s="49"/>
      <c r="T666" s="49"/>
      <c r="U666" s="49"/>
      <c r="V666" s="49"/>
      <c r="W666" s="49"/>
    </row>
    <row r="667" spans="1:23">
      <c r="A667" s="49"/>
      <c r="B667" s="49"/>
      <c r="C667" s="49"/>
      <c r="D667" s="49"/>
      <c r="E667" s="49"/>
      <c r="F667" s="49"/>
      <c r="G667" s="49"/>
      <c r="H667" s="49"/>
      <c r="I667" s="49"/>
      <c r="J667" s="49"/>
      <c r="K667" s="49"/>
      <c r="L667" s="49"/>
      <c r="M667" s="49"/>
      <c r="N667" s="49"/>
      <c r="O667" s="49"/>
      <c r="P667" s="49"/>
      <c r="Q667" s="49"/>
      <c r="R667" s="49"/>
      <c r="S667" s="49"/>
      <c r="T667" s="49"/>
      <c r="U667" s="49"/>
      <c r="V667" s="49"/>
      <c r="W667" s="49"/>
    </row>
    <row r="668" spans="1:23">
      <c r="A668" s="49"/>
      <c r="B668" s="49"/>
      <c r="C668" s="49"/>
      <c r="D668" s="49"/>
      <c r="E668" s="49"/>
      <c r="F668" s="49"/>
      <c r="G668" s="49"/>
      <c r="H668" s="49"/>
      <c r="I668" s="49"/>
      <c r="J668" s="49"/>
      <c r="K668" s="49"/>
      <c r="L668" s="49"/>
      <c r="M668" s="49"/>
      <c r="N668" s="49"/>
      <c r="O668" s="49"/>
      <c r="P668" s="49"/>
      <c r="Q668" s="49"/>
      <c r="R668" s="49"/>
      <c r="S668" s="49"/>
      <c r="T668" s="49"/>
      <c r="U668" s="49"/>
      <c r="V668" s="49"/>
      <c r="W668" s="49"/>
    </row>
    <row r="669" spans="1:23">
      <c r="A669" s="49"/>
      <c r="B669" s="49"/>
      <c r="C669" s="49"/>
      <c r="D669" s="49"/>
      <c r="E669" s="49"/>
      <c r="F669" s="49"/>
      <c r="G669" s="49"/>
      <c r="H669" s="49"/>
      <c r="I669" s="49"/>
      <c r="J669" s="49"/>
      <c r="K669" s="49"/>
      <c r="L669" s="49"/>
      <c r="M669" s="49"/>
      <c r="N669" s="49"/>
      <c r="O669" s="49"/>
      <c r="P669" s="49"/>
      <c r="Q669" s="49"/>
      <c r="R669" s="49"/>
      <c r="S669" s="49"/>
      <c r="T669" s="49"/>
      <c r="U669" s="49"/>
      <c r="V669" s="49"/>
      <c r="W669" s="49"/>
    </row>
    <row r="670" spans="1:23">
      <c r="A670" s="49"/>
      <c r="B670" s="49"/>
      <c r="C670" s="49"/>
      <c r="D670" s="49"/>
      <c r="E670" s="49"/>
      <c r="F670" s="49"/>
      <c r="G670" s="49"/>
      <c r="H670" s="49"/>
      <c r="I670" s="49"/>
      <c r="J670" s="49"/>
      <c r="K670" s="49"/>
      <c r="L670" s="49"/>
      <c r="M670" s="49"/>
      <c r="N670" s="49"/>
      <c r="O670" s="49"/>
      <c r="P670" s="49"/>
      <c r="Q670" s="49"/>
      <c r="R670" s="49"/>
      <c r="S670" s="49"/>
      <c r="T670" s="49"/>
      <c r="U670" s="49"/>
      <c r="V670" s="49"/>
      <c r="W670" s="49"/>
    </row>
    <row r="671" spans="1:23">
      <c r="A671" s="49"/>
      <c r="B671" s="49"/>
      <c r="C671" s="49"/>
      <c r="D671" s="49"/>
      <c r="E671" s="49"/>
      <c r="F671" s="49"/>
      <c r="G671" s="49"/>
      <c r="H671" s="49"/>
      <c r="I671" s="49"/>
      <c r="J671" s="49"/>
      <c r="K671" s="49"/>
      <c r="L671" s="49"/>
      <c r="M671" s="49"/>
      <c r="N671" s="49"/>
      <c r="O671" s="49"/>
      <c r="P671" s="49"/>
      <c r="Q671" s="49"/>
      <c r="R671" s="49"/>
      <c r="S671" s="49"/>
      <c r="T671" s="49"/>
      <c r="U671" s="49"/>
      <c r="V671" s="49"/>
      <c r="W671" s="49"/>
    </row>
    <row r="672" spans="1:23">
      <c r="A672" s="49"/>
      <c r="B672" s="49"/>
      <c r="C672" s="49"/>
      <c r="D672" s="49"/>
      <c r="E672" s="49"/>
      <c r="F672" s="49"/>
      <c r="G672" s="49"/>
      <c r="H672" s="49"/>
      <c r="I672" s="49"/>
      <c r="J672" s="49"/>
      <c r="K672" s="49"/>
      <c r="L672" s="49"/>
      <c r="M672" s="49"/>
      <c r="N672" s="49"/>
      <c r="O672" s="49"/>
      <c r="P672" s="49"/>
      <c r="Q672" s="49"/>
      <c r="R672" s="49"/>
      <c r="S672" s="49"/>
      <c r="T672" s="49"/>
      <c r="U672" s="49"/>
      <c r="V672" s="49"/>
      <c r="W672" s="49"/>
    </row>
    <row r="673" spans="1:23">
      <c r="A673" s="49"/>
      <c r="B673" s="49"/>
      <c r="C673" s="49"/>
      <c r="D673" s="49"/>
      <c r="E673" s="49"/>
      <c r="F673" s="49"/>
      <c r="G673" s="49"/>
      <c r="H673" s="49"/>
      <c r="I673" s="49"/>
      <c r="J673" s="49"/>
      <c r="K673" s="49"/>
      <c r="L673" s="49"/>
      <c r="M673" s="49"/>
      <c r="N673" s="49"/>
      <c r="O673" s="49"/>
      <c r="P673" s="49"/>
      <c r="Q673" s="49"/>
      <c r="R673" s="49"/>
      <c r="S673" s="49"/>
      <c r="T673" s="49"/>
      <c r="U673" s="49"/>
      <c r="V673" s="49"/>
      <c r="W673" s="49"/>
    </row>
    <row r="674" spans="1:23">
      <c r="A674" s="49"/>
      <c r="B674" s="49"/>
      <c r="C674" s="49"/>
      <c r="D674" s="49"/>
      <c r="E674" s="49"/>
      <c r="F674" s="49"/>
      <c r="G674" s="49"/>
      <c r="H674" s="49"/>
      <c r="I674" s="49"/>
      <c r="J674" s="49"/>
      <c r="K674" s="49"/>
      <c r="L674" s="49"/>
      <c r="M674" s="49"/>
      <c r="N674" s="49"/>
      <c r="O674" s="49"/>
      <c r="P674" s="49"/>
      <c r="Q674" s="49"/>
      <c r="R674" s="49"/>
      <c r="S674" s="49"/>
      <c r="T674" s="49"/>
      <c r="U674" s="49"/>
      <c r="V674" s="49"/>
      <c r="W674" s="49"/>
    </row>
    <row r="675" spans="1:23">
      <c r="A675" s="49"/>
      <c r="B675" s="49"/>
      <c r="C675" s="49"/>
      <c r="D675" s="49"/>
      <c r="E675" s="49"/>
      <c r="F675" s="49"/>
      <c r="G675" s="49"/>
      <c r="H675" s="49"/>
      <c r="I675" s="49"/>
      <c r="J675" s="49"/>
      <c r="K675" s="49"/>
      <c r="L675" s="49"/>
      <c r="M675" s="49"/>
      <c r="N675" s="49"/>
      <c r="O675" s="49"/>
      <c r="P675" s="49"/>
      <c r="Q675" s="49"/>
      <c r="R675" s="49"/>
      <c r="S675" s="49"/>
      <c r="T675" s="49"/>
      <c r="U675" s="49"/>
      <c r="V675" s="49"/>
      <c r="W675" s="49"/>
    </row>
    <row r="676" spans="1:23">
      <c r="A676" s="49"/>
      <c r="B676" s="49"/>
      <c r="C676" s="49"/>
      <c r="D676" s="49"/>
      <c r="E676" s="49"/>
      <c r="F676" s="49"/>
      <c r="G676" s="49"/>
      <c r="H676" s="49"/>
      <c r="I676" s="49"/>
      <c r="J676" s="49"/>
      <c r="K676" s="49"/>
      <c r="L676" s="49"/>
      <c r="M676" s="49"/>
      <c r="N676" s="49"/>
      <c r="O676" s="49"/>
      <c r="P676" s="49"/>
      <c r="Q676" s="49"/>
      <c r="R676" s="49"/>
      <c r="S676" s="49"/>
      <c r="T676" s="49"/>
      <c r="U676" s="49"/>
      <c r="V676" s="49"/>
      <c r="W676" s="49"/>
    </row>
    <row r="677" spans="1:23">
      <c r="A677" s="49"/>
      <c r="B677" s="49"/>
      <c r="C677" s="49"/>
      <c r="D677" s="49"/>
      <c r="E677" s="49"/>
      <c r="F677" s="49"/>
      <c r="G677" s="49"/>
      <c r="H677" s="49"/>
      <c r="I677" s="49"/>
      <c r="J677" s="49"/>
      <c r="K677" s="49"/>
      <c r="L677" s="49"/>
      <c r="M677" s="49"/>
      <c r="N677" s="49"/>
      <c r="O677" s="49"/>
      <c r="P677" s="49"/>
      <c r="Q677" s="49"/>
      <c r="R677" s="49"/>
      <c r="S677" s="49"/>
      <c r="T677" s="49"/>
      <c r="U677" s="49"/>
      <c r="V677" s="49"/>
      <c r="W677" s="49"/>
    </row>
    <row r="678" spans="1:23">
      <c r="A678" s="49"/>
      <c r="B678" s="49"/>
      <c r="C678" s="49"/>
      <c r="D678" s="49"/>
      <c r="E678" s="49"/>
      <c r="F678" s="49"/>
      <c r="G678" s="49"/>
      <c r="H678" s="49"/>
      <c r="I678" s="49"/>
      <c r="J678" s="49"/>
      <c r="K678" s="49"/>
      <c r="L678" s="49"/>
      <c r="M678" s="49"/>
      <c r="N678" s="49"/>
      <c r="O678" s="49"/>
      <c r="P678" s="49"/>
      <c r="Q678" s="49"/>
      <c r="R678" s="49"/>
      <c r="S678" s="49"/>
      <c r="T678" s="49"/>
      <c r="U678" s="49"/>
      <c r="V678" s="49"/>
      <c r="W678" s="49"/>
    </row>
    <row r="679" spans="1:23">
      <c r="A679" s="49"/>
      <c r="B679" s="49"/>
      <c r="C679" s="49"/>
      <c r="D679" s="49"/>
      <c r="E679" s="49"/>
      <c r="F679" s="49"/>
      <c r="G679" s="49"/>
      <c r="H679" s="49"/>
      <c r="I679" s="49"/>
      <c r="J679" s="49"/>
      <c r="K679" s="49"/>
      <c r="L679" s="49"/>
      <c r="M679" s="49"/>
      <c r="N679" s="49"/>
      <c r="O679" s="49"/>
      <c r="P679" s="49"/>
      <c r="Q679" s="49"/>
      <c r="R679" s="49"/>
      <c r="S679" s="49"/>
      <c r="T679" s="49"/>
      <c r="U679" s="49"/>
      <c r="V679" s="49"/>
      <c r="W679" s="49"/>
    </row>
    <row r="680" spans="1:23">
      <c r="A680" s="49"/>
      <c r="B680" s="49"/>
      <c r="C680" s="49"/>
      <c r="D680" s="49"/>
      <c r="E680" s="49"/>
      <c r="F680" s="49"/>
      <c r="G680" s="49"/>
      <c r="H680" s="49"/>
      <c r="I680" s="49"/>
      <c r="J680" s="49"/>
      <c r="K680" s="49"/>
      <c r="L680" s="49"/>
      <c r="M680" s="49"/>
      <c r="N680" s="49"/>
      <c r="O680" s="49"/>
      <c r="P680" s="49"/>
      <c r="Q680" s="49"/>
      <c r="R680" s="49"/>
      <c r="S680" s="49"/>
      <c r="T680" s="49"/>
      <c r="U680" s="49"/>
      <c r="V680" s="49"/>
      <c r="W680" s="49"/>
    </row>
    <row r="681" spans="1:23">
      <c r="A681" s="49"/>
      <c r="B681" s="49"/>
      <c r="C681" s="49"/>
      <c r="D681" s="49"/>
      <c r="E681" s="49"/>
      <c r="F681" s="49"/>
      <c r="G681" s="49"/>
      <c r="H681" s="49"/>
      <c r="I681" s="49"/>
      <c r="J681" s="49"/>
      <c r="K681" s="49"/>
      <c r="L681" s="49"/>
      <c r="M681" s="49"/>
      <c r="N681" s="49"/>
      <c r="O681" s="49"/>
      <c r="P681" s="49"/>
      <c r="Q681" s="49"/>
      <c r="R681" s="49"/>
      <c r="S681" s="49"/>
      <c r="T681" s="49"/>
      <c r="U681" s="49"/>
      <c r="V681" s="49"/>
      <c r="W681" s="49"/>
    </row>
    <row r="682" spans="1:23">
      <c r="A682" s="49"/>
      <c r="B682" s="49"/>
      <c r="C682" s="49"/>
      <c r="D682" s="49"/>
      <c r="E682" s="49"/>
      <c r="F682" s="49"/>
      <c r="G682" s="49"/>
      <c r="H682" s="49"/>
      <c r="I682" s="49"/>
      <c r="J682" s="49"/>
      <c r="K682" s="49"/>
      <c r="L682" s="49"/>
      <c r="M682" s="49"/>
      <c r="N682" s="49"/>
      <c r="O682" s="49"/>
      <c r="P682" s="49"/>
      <c r="Q682" s="49"/>
      <c r="R682" s="49"/>
      <c r="S682" s="49"/>
      <c r="T682" s="49"/>
      <c r="U682" s="49"/>
      <c r="V682" s="49"/>
      <c r="W682" s="49"/>
    </row>
    <row r="683" spans="1:23">
      <c r="A683" s="49"/>
      <c r="B683" s="49"/>
      <c r="C683" s="49"/>
      <c r="D683" s="49"/>
      <c r="E683" s="49"/>
      <c r="F683" s="49"/>
      <c r="G683" s="49"/>
      <c r="H683" s="49"/>
      <c r="I683" s="49"/>
      <c r="J683" s="49"/>
      <c r="K683" s="49"/>
      <c r="L683" s="49"/>
      <c r="M683" s="49"/>
      <c r="N683" s="49"/>
      <c r="O683" s="49"/>
      <c r="P683" s="49"/>
      <c r="Q683" s="49"/>
      <c r="R683" s="49"/>
      <c r="S683" s="49"/>
      <c r="T683" s="49"/>
      <c r="U683" s="49"/>
      <c r="V683" s="49"/>
      <c r="W683" s="49"/>
    </row>
    <row r="684" spans="1:23">
      <c r="A684" s="49"/>
      <c r="B684" s="49"/>
      <c r="C684" s="49"/>
      <c r="D684" s="49"/>
      <c r="E684" s="49"/>
      <c r="F684" s="49"/>
      <c r="G684" s="49"/>
      <c r="H684" s="49"/>
      <c r="I684" s="49"/>
      <c r="J684" s="49"/>
      <c r="K684" s="49"/>
      <c r="L684" s="49"/>
      <c r="M684" s="49"/>
      <c r="N684" s="49"/>
      <c r="O684" s="49"/>
      <c r="P684" s="49"/>
      <c r="Q684" s="49"/>
      <c r="R684" s="49"/>
      <c r="S684" s="49"/>
      <c r="T684" s="49"/>
      <c r="U684" s="49"/>
      <c r="V684" s="49"/>
      <c r="W684" s="49"/>
    </row>
    <row r="685" spans="1:23">
      <c r="A685" s="49"/>
      <c r="B685" s="49"/>
      <c r="C685" s="49"/>
      <c r="D685" s="49"/>
      <c r="E685" s="49"/>
      <c r="F685" s="49"/>
      <c r="G685" s="49"/>
      <c r="H685" s="49"/>
      <c r="I685" s="49"/>
      <c r="J685" s="49"/>
      <c r="K685" s="49"/>
      <c r="L685" s="49"/>
      <c r="M685" s="49"/>
      <c r="N685" s="49"/>
      <c r="O685" s="49"/>
      <c r="P685" s="49"/>
      <c r="Q685" s="49"/>
      <c r="R685" s="49"/>
      <c r="S685" s="49"/>
      <c r="T685" s="49"/>
      <c r="U685" s="49"/>
      <c r="V685" s="49"/>
      <c r="W685" s="49"/>
    </row>
    <row r="686" spans="1:23">
      <c r="A686" s="49"/>
      <c r="B686" s="49"/>
      <c r="C686" s="49"/>
      <c r="D686" s="49"/>
      <c r="E686" s="49"/>
      <c r="F686" s="49"/>
      <c r="G686" s="49"/>
      <c r="H686" s="49"/>
      <c r="I686" s="49"/>
      <c r="J686" s="49"/>
      <c r="K686" s="49"/>
      <c r="L686" s="49"/>
      <c r="M686" s="49"/>
      <c r="N686" s="49"/>
      <c r="O686" s="49"/>
      <c r="P686" s="49"/>
      <c r="Q686" s="49"/>
      <c r="R686" s="49"/>
      <c r="S686" s="49"/>
      <c r="T686" s="49"/>
      <c r="U686" s="49"/>
      <c r="V686" s="49"/>
      <c r="W686" s="49"/>
    </row>
    <row r="687" spans="1:23">
      <c r="A687" s="49"/>
      <c r="B687" s="49"/>
      <c r="C687" s="49"/>
      <c r="D687" s="49"/>
      <c r="E687" s="49"/>
      <c r="F687" s="49"/>
      <c r="G687" s="49"/>
      <c r="H687" s="49"/>
      <c r="I687" s="49"/>
      <c r="J687" s="49"/>
      <c r="K687" s="49"/>
      <c r="L687" s="49"/>
      <c r="M687" s="49"/>
      <c r="N687" s="49"/>
      <c r="O687" s="49"/>
      <c r="P687" s="49"/>
      <c r="Q687" s="49"/>
      <c r="R687" s="49"/>
      <c r="S687" s="49"/>
      <c r="T687" s="49"/>
      <c r="U687" s="49"/>
      <c r="V687" s="49"/>
      <c r="W687" s="49"/>
    </row>
    <row r="688" spans="1:23">
      <c r="A688" s="49"/>
      <c r="B688" s="49"/>
      <c r="C688" s="49"/>
      <c r="D688" s="49"/>
      <c r="E688" s="49"/>
      <c r="F688" s="49"/>
      <c r="G688" s="49"/>
      <c r="H688" s="49"/>
      <c r="I688" s="49"/>
      <c r="J688" s="49"/>
      <c r="K688" s="49"/>
      <c r="L688" s="49"/>
      <c r="M688" s="49"/>
      <c r="N688" s="49"/>
      <c r="O688" s="49"/>
      <c r="P688" s="49"/>
      <c r="Q688" s="49"/>
      <c r="R688" s="49"/>
      <c r="S688" s="49"/>
      <c r="T688" s="49"/>
      <c r="U688" s="49"/>
      <c r="V688" s="49"/>
      <c r="W688" s="49"/>
    </row>
    <row r="689" spans="1:23">
      <c r="A689" s="49"/>
      <c r="B689" s="49"/>
      <c r="C689" s="49"/>
      <c r="D689" s="49"/>
      <c r="E689" s="49"/>
      <c r="F689" s="49"/>
      <c r="G689" s="49"/>
      <c r="H689" s="49"/>
      <c r="I689" s="49"/>
      <c r="J689" s="49"/>
      <c r="K689" s="49"/>
      <c r="L689" s="49"/>
      <c r="M689" s="49"/>
      <c r="N689" s="49"/>
      <c r="O689" s="49"/>
      <c r="P689" s="49"/>
      <c r="Q689" s="49"/>
      <c r="R689" s="49"/>
      <c r="S689" s="49"/>
      <c r="T689" s="49"/>
      <c r="U689" s="49"/>
      <c r="V689" s="49"/>
      <c r="W689" s="49"/>
    </row>
    <row r="690" spans="1:23">
      <c r="A690" s="49"/>
      <c r="B690" s="49"/>
      <c r="C690" s="49"/>
      <c r="D690" s="49"/>
      <c r="E690" s="49"/>
      <c r="F690" s="49"/>
      <c r="G690" s="49"/>
      <c r="H690" s="49"/>
      <c r="I690" s="49"/>
      <c r="J690" s="49"/>
      <c r="K690" s="49"/>
      <c r="L690" s="49"/>
      <c r="M690" s="49"/>
      <c r="N690" s="49"/>
      <c r="O690" s="49"/>
      <c r="P690" s="49"/>
      <c r="Q690" s="49"/>
      <c r="R690" s="49"/>
      <c r="S690" s="49"/>
      <c r="T690" s="49"/>
      <c r="U690" s="49"/>
      <c r="V690" s="49"/>
      <c r="W690" s="49"/>
    </row>
    <row r="691" spans="1:23">
      <c r="A691" s="49"/>
      <c r="B691" s="49"/>
      <c r="C691" s="49"/>
      <c r="D691" s="49"/>
      <c r="E691" s="49"/>
      <c r="F691" s="49"/>
      <c r="G691" s="49"/>
      <c r="H691" s="49"/>
      <c r="I691" s="49"/>
      <c r="J691" s="49"/>
      <c r="K691" s="49"/>
      <c r="L691" s="49"/>
      <c r="M691" s="49"/>
      <c r="N691" s="49"/>
      <c r="O691" s="49"/>
      <c r="P691" s="49"/>
      <c r="Q691" s="49"/>
      <c r="R691" s="49"/>
      <c r="S691" s="49"/>
      <c r="T691" s="49"/>
      <c r="U691" s="49"/>
      <c r="V691" s="49"/>
      <c r="W691" s="49"/>
    </row>
    <row r="692" spans="1:23">
      <c r="A692" s="49"/>
      <c r="B692" s="49"/>
      <c r="C692" s="49"/>
      <c r="D692" s="49"/>
      <c r="E692" s="49"/>
      <c r="F692" s="49"/>
      <c r="G692" s="49"/>
      <c r="H692" s="49"/>
      <c r="I692" s="49"/>
      <c r="J692" s="49"/>
      <c r="K692" s="49"/>
      <c r="L692" s="49"/>
      <c r="M692" s="49"/>
      <c r="N692" s="49"/>
      <c r="O692" s="49"/>
      <c r="P692" s="49"/>
      <c r="Q692" s="49"/>
      <c r="R692" s="49"/>
      <c r="S692" s="49"/>
      <c r="T692" s="49"/>
      <c r="U692" s="49"/>
      <c r="V692" s="49"/>
      <c r="W692" s="49"/>
    </row>
    <row r="693" spans="1:23">
      <c r="A693" s="49"/>
      <c r="B693" s="49"/>
      <c r="C693" s="49"/>
      <c r="D693" s="49"/>
      <c r="E693" s="49"/>
      <c r="F693" s="49"/>
      <c r="G693" s="49"/>
      <c r="H693" s="49"/>
      <c r="I693" s="49"/>
      <c r="J693" s="49"/>
      <c r="K693" s="49"/>
      <c r="L693" s="49"/>
      <c r="M693" s="49"/>
      <c r="N693" s="49"/>
      <c r="O693" s="49"/>
      <c r="P693" s="49"/>
      <c r="Q693" s="49"/>
      <c r="R693" s="49"/>
      <c r="S693" s="49"/>
      <c r="T693" s="49"/>
      <c r="U693" s="49"/>
      <c r="V693" s="49"/>
      <c r="W693" s="49"/>
    </row>
    <row r="694" spans="1:23">
      <c r="A694" s="49"/>
      <c r="B694" s="49"/>
      <c r="C694" s="49"/>
      <c r="D694" s="49"/>
      <c r="E694" s="49"/>
      <c r="F694" s="49"/>
      <c r="G694" s="49"/>
      <c r="H694" s="49"/>
      <c r="I694" s="49"/>
      <c r="J694" s="49"/>
      <c r="K694" s="49"/>
      <c r="L694" s="49"/>
      <c r="M694" s="49"/>
      <c r="N694" s="49"/>
      <c r="O694" s="49"/>
      <c r="P694" s="49"/>
      <c r="Q694" s="49"/>
      <c r="R694" s="49"/>
      <c r="S694" s="49"/>
      <c r="T694" s="49"/>
      <c r="U694" s="49"/>
      <c r="V694" s="49"/>
      <c r="W694" s="49"/>
    </row>
    <row r="695" spans="1:23">
      <c r="A695" s="49"/>
      <c r="B695" s="49"/>
      <c r="C695" s="49"/>
      <c r="D695" s="49"/>
      <c r="E695" s="49"/>
      <c r="F695" s="49"/>
      <c r="G695" s="49"/>
      <c r="H695" s="49"/>
      <c r="I695" s="49"/>
      <c r="J695" s="49"/>
      <c r="K695" s="49"/>
      <c r="L695" s="49"/>
      <c r="M695" s="49"/>
      <c r="N695" s="49"/>
      <c r="O695" s="49"/>
      <c r="P695" s="49"/>
      <c r="Q695" s="49"/>
      <c r="R695" s="49"/>
      <c r="S695" s="49"/>
      <c r="T695" s="49"/>
      <c r="U695" s="49"/>
      <c r="V695" s="49"/>
      <c r="W695" s="49"/>
    </row>
    <row r="696" spans="1:23">
      <c r="A696" s="49"/>
      <c r="B696" s="49"/>
      <c r="C696" s="49"/>
      <c r="D696" s="49"/>
      <c r="E696" s="49"/>
      <c r="F696" s="49"/>
      <c r="G696" s="49"/>
      <c r="H696" s="49"/>
      <c r="I696" s="49"/>
      <c r="J696" s="49"/>
      <c r="K696" s="49"/>
      <c r="L696" s="49"/>
      <c r="M696" s="49"/>
      <c r="N696" s="49"/>
      <c r="O696" s="49"/>
      <c r="P696" s="49"/>
      <c r="Q696" s="49"/>
      <c r="R696" s="49"/>
      <c r="S696" s="49"/>
      <c r="T696" s="49"/>
      <c r="U696" s="49"/>
      <c r="V696" s="49"/>
      <c r="W696" s="49"/>
    </row>
    <row r="697" spans="1:23">
      <c r="A697" s="49"/>
      <c r="B697" s="49"/>
      <c r="C697" s="49"/>
      <c r="D697" s="49"/>
      <c r="E697" s="49"/>
      <c r="F697" s="49"/>
      <c r="G697" s="49"/>
      <c r="H697" s="49"/>
      <c r="I697" s="49"/>
      <c r="J697" s="49"/>
      <c r="K697" s="49"/>
      <c r="L697" s="49"/>
      <c r="M697" s="49"/>
      <c r="N697" s="49"/>
      <c r="O697" s="49"/>
      <c r="P697" s="49"/>
      <c r="Q697" s="49"/>
      <c r="R697" s="49"/>
      <c r="S697" s="49"/>
      <c r="T697" s="49"/>
      <c r="U697" s="49"/>
      <c r="V697" s="49"/>
      <c r="W697" s="49"/>
    </row>
    <row r="698" spans="1:23">
      <c r="A698" s="49"/>
      <c r="B698" s="49"/>
      <c r="C698" s="49"/>
      <c r="D698" s="49"/>
      <c r="E698" s="49"/>
      <c r="F698" s="49"/>
      <c r="G698" s="49"/>
      <c r="H698" s="49"/>
      <c r="I698" s="49"/>
      <c r="J698" s="49"/>
      <c r="K698" s="49"/>
      <c r="L698" s="49"/>
      <c r="M698" s="49"/>
      <c r="N698" s="49"/>
      <c r="O698" s="49"/>
      <c r="P698" s="49"/>
      <c r="Q698" s="49"/>
      <c r="R698" s="49"/>
      <c r="S698" s="49"/>
      <c r="T698" s="49"/>
      <c r="U698" s="49"/>
      <c r="V698" s="49"/>
      <c r="W698" s="49"/>
    </row>
    <row r="699" spans="1:23">
      <c r="A699" s="49"/>
      <c r="B699" s="49"/>
      <c r="C699" s="49"/>
      <c r="D699" s="49"/>
      <c r="E699" s="49"/>
      <c r="F699" s="49"/>
      <c r="G699" s="49"/>
      <c r="H699" s="49"/>
      <c r="I699" s="49"/>
      <c r="J699" s="49"/>
      <c r="K699" s="49"/>
      <c r="L699" s="49"/>
      <c r="M699" s="49"/>
      <c r="N699" s="49"/>
      <c r="O699" s="49"/>
      <c r="P699" s="49"/>
      <c r="Q699" s="49"/>
      <c r="R699" s="49"/>
      <c r="S699" s="49"/>
      <c r="T699" s="49"/>
      <c r="U699" s="49"/>
      <c r="V699" s="49"/>
      <c r="W699" s="49"/>
    </row>
    <row r="700" spans="1:23">
      <c r="A700" s="49"/>
      <c r="B700" s="49"/>
      <c r="C700" s="49"/>
      <c r="D700" s="49"/>
      <c r="E700" s="49"/>
      <c r="F700" s="49"/>
      <c r="G700" s="49"/>
      <c r="H700" s="49"/>
      <c r="I700" s="49"/>
      <c r="J700" s="49"/>
      <c r="K700" s="49"/>
      <c r="L700" s="49"/>
      <c r="M700" s="49"/>
      <c r="N700" s="49"/>
      <c r="O700" s="49"/>
      <c r="P700" s="49"/>
      <c r="Q700" s="49"/>
      <c r="R700" s="49"/>
      <c r="S700" s="49"/>
      <c r="T700" s="49"/>
      <c r="U700" s="49"/>
      <c r="V700" s="49"/>
      <c r="W700" s="49"/>
    </row>
    <row r="701" spans="1:23">
      <c r="A701" s="49"/>
      <c r="B701" s="49"/>
      <c r="C701" s="49"/>
      <c r="D701" s="49"/>
      <c r="E701" s="49"/>
      <c r="F701" s="49"/>
      <c r="G701" s="49"/>
      <c r="H701" s="49"/>
      <c r="I701" s="49"/>
      <c r="J701" s="49"/>
      <c r="K701" s="49"/>
      <c r="L701" s="49"/>
      <c r="M701" s="49"/>
      <c r="N701" s="49"/>
      <c r="O701" s="49"/>
      <c r="P701" s="49"/>
      <c r="Q701" s="49"/>
      <c r="R701" s="49"/>
      <c r="S701" s="49"/>
      <c r="T701" s="49"/>
      <c r="U701" s="49"/>
      <c r="V701" s="49"/>
      <c r="W701" s="49"/>
    </row>
    <row r="702" spans="1:23">
      <c r="A702" s="49"/>
      <c r="B702" s="49"/>
      <c r="C702" s="49"/>
      <c r="D702" s="49"/>
      <c r="E702" s="49"/>
      <c r="F702" s="49"/>
      <c r="G702" s="49"/>
      <c r="H702" s="49"/>
      <c r="I702" s="49"/>
      <c r="J702" s="49"/>
      <c r="K702" s="49"/>
      <c r="L702" s="49"/>
      <c r="M702" s="49"/>
      <c r="N702" s="49"/>
      <c r="O702" s="49"/>
      <c r="P702" s="49"/>
      <c r="Q702" s="49"/>
      <c r="R702" s="49"/>
      <c r="S702" s="49"/>
      <c r="T702" s="49"/>
      <c r="U702" s="49"/>
      <c r="V702" s="49"/>
      <c r="W702" s="49"/>
    </row>
    <row r="703" spans="1:23">
      <c r="A703" s="49"/>
      <c r="B703" s="49"/>
      <c r="C703" s="49"/>
      <c r="D703" s="49"/>
      <c r="E703" s="49"/>
      <c r="F703" s="49"/>
      <c r="G703" s="49"/>
      <c r="H703" s="49"/>
      <c r="I703" s="49"/>
      <c r="J703" s="49"/>
      <c r="K703" s="49"/>
      <c r="L703" s="49"/>
      <c r="M703" s="49"/>
      <c r="N703" s="49"/>
      <c r="O703" s="49"/>
      <c r="P703" s="49"/>
      <c r="Q703" s="49"/>
      <c r="R703" s="49"/>
      <c r="S703" s="49"/>
      <c r="T703" s="49"/>
      <c r="U703" s="49"/>
      <c r="V703" s="49"/>
      <c r="W703" s="49"/>
    </row>
    <row r="704" spans="1:23">
      <c r="A704" s="49"/>
      <c r="B704" s="49"/>
      <c r="C704" s="49"/>
      <c r="D704" s="49"/>
      <c r="E704" s="49"/>
      <c r="F704" s="49"/>
      <c r="G704" s="49"/>
      <c r="H704" s="49"/>
      <c r="I704" s="49"/>
      <c r="J704" s="49"/>
      <c r="K704" s="49"/>
      <c r="L704" s="49"/>
      <c r="M704" s="49"/>
      <c r="N704" s="49"/>
      <c r="O704" s="49"/>
      <c r="P704" s="49"/>
      <c r="Q704" s="49"/>
      <c r="R704" s="49"/>
      <c r="S704" s="49"/>
      <c r="T704" s="49"/>
      <c r="U704" s="49"/>
      <c r="V704" s="49"/>
      <c r="W704" s="49"/>
    </row>
    <row r="705" spans="1:23">
      <c r="A705" s="49"/>
      <c r="B705" s="49"/>
      <c r="C705" s="49"/>
      <c r="D705" s="49"/>
      <c r="E705" s="49"/>
      <c r="F705" s="49"/>
      <c r="G705" s="49"/>
      <c r="H705" s="49"/>
      <c r="I705" s="49"/>
      <c r="J705" s="49"/>
      <c r="K705" s="49"/>
      <c r="L705" s="49"/>
      <c r="M705" s="49"/>
      <c r="N705" s="49"/>
      <c r="O705" s="49"/>
      <c r="P705" s="49"/>
      <c r="Q705" s="49"/>
      <c r="R705" s="49"/>
      <c r="S705" s="49"/>
      <c r="T705" s="49"/>
      <c r="U705" s="49"/>
      <c r="V705" s="49"/>
      <c r="W705" s="49"/>
    </row>
    <row r="706" spans="1:23">
      <c r="A706" s="49"/>
      <c r="B706" s="49"/>
      <c r="C706" s="49"/>
      <c r="D706" s="49"/>
      <c r="E706" s="49"/>
      <c r="F706" s="49"/>
      <c r="G706" s="49"/>
      <c r="H706" s="49"/>
      <c r="I706" s="49"/>
      <c r="J706" s="49"/>
      <c r="K706" s="49"/>
      <c r="L706" s="49"/>
      <c r="M706" s="49"/>
      <c r="N706" s="49"/>
      <c r="O706" s="49"/>
      <c r="P706" s="49"/>
      <c r="Q706" s="49"/>
      <c r="R706" s="49"/>
      <c r="S706" s="49"/>
      <c r="T706" s="49"/>
      <c r="U706" s="49"/>
      <c r="V706" s="49"/>
      <c r="W706" s="49"/>
    </row>
    <row r="707" spans="1:23">
      <c r="A707" s="49"/>
      <c r="B707" s="49"/>
      <c r="C707" s="49"/>
      <c r="D707" s="49"/>
      <c r="E707" s="49"/>
      <c r="F707" s="49"/>
      <c r="G707" s="49"/>
      <c r="H707" s="49"/>
      <c r="I707" s="49"/>
      <c r="J707" s="49"/>
      <c r="K707" s="49"/>
      <c r="L707" s="49"/>
      <c r="M707" s="49"/>
      <c r="N707" s="49"/>
      <c r="O707" s="49"/>
      <c r="P707" s="49"/>
      <c r="Q707" s="49"/>
      <c r="R707" s="49"/>
      <c r="S707" s="49"/>
      <c r="T707" s="49"/>
      <c r="U707" s="49"/>
      <c r="V707" s="49"/>
      <c r="W707" s="49"/>
    </row>
    <row r="708" spans="1:23">
      <c r="A708" s="49"/>
      <c r="B708" s="49"/>
      <c r="C708" s="49"/>
      <c r="D708" s="49"/>
      <c r="E708" s="49"/>
      <c r="F708" s="49"/>
      <c r="G708" s="49"/>
      <c r="H708" s="49"/>
      <c r="I708" s="49"/>
      <c r="J708" s="49"/>
      <c r="K708" s="49"/>
      <c r="L708" s="49"/>
      <c r="M708" s="49"/>
      <c r="N708" s="49"/>
      <c r="O708" s="49"/>
      <c r="P708" s="49"/>
      <c r="Q708" s="49"/>
      <c r="R708" s="49"/>
      <c r="S708" s="49"/>
      <c r="T708" s="49"/>
      <c r="U708" s="49"/>
      <c r="V708" s="49"/>
      <c r="W708" s="49"/>
    </row>
    <row r="709" spans="1:23">
      <c r="A709" s="49"/>
      <c r="B709" s="49"/>
      <c r="C709" s="49"/>
      <c r="D709" s="49"/>
      <c r="E709" s="49"/>
      <c r="F709" s="49"/>
      <c r="G709" s="49"/>
      <c r="H709" s="49"/>
      <c r="I709" s="49"/>
      <c r="J709" s="49"/>
      <c r="K709" s="49"/>
      <c r="L709" s="49"/>
      <c r="M709" s="49"/>
      <c r="N709" s="49"/>
      <c r="O709" s="49"/>
      <c r="P709" s="49"/>
      <c r="Q709" s="49"/>
      <c r="R709" s="49"/>
      <c r="S709" s="49"/>
      <c r="T709" s="49"/>
      <c r="U709" s="49"/>
      <c r="V709" s="49"/>
      <c r="W709" s="49"/>
    </row>
    <row r="710" spans="1:23">
      <c r="A710" s="49"/>
      <c r="B710" s="49"/>
      <c r="C710" s="49"/>
      <c r="D710" s="49"/>
      <c r="E710" s="49"/>
      <c r="F710" s="49"/>
      <c r="G710" s="49"/>
      <c r="H710" s="49"/>
      <c r="I710" s="49"/>
      <c r="J710" s="49"/>
      <c r="K710" s="49"/>
      <c r="L710" s="49"/>
      <c r="M710" s="49"/>
      <c r="N710" s="49"/>
      <c r="O710" s="49"/>
      <c r="P710" s="49"/>
      <c r="Q710" s="49"/>
      <c r="R710" s="49"/>
      <c r="S710" s="49"/>
      <c r="T710" s="49"/>
      <c r="U710" s="49"/>
      <c r="V710" s="49"/>
      <c r="W710" s="49"/>
    </row>
    <row r="711" spans="1:23">
      <c r="A711" s="49"/>
      <c r="B711" s="49"/>
      <c r="C711" s="49"/>
      <c r="D711" s="49"/>
      <c r="E711" s="49"/>
      <c r="F711" s="49"/>
      <c r="G711" s="49"/>
      <c r="H711" s="49"/>
      <c r="I711" s="49"/>
      <c r="J711" s="49"/>
      <c r="K711" s="49"/>
      <c r="L711" s="49"/>
      <c r="M711" s="49"/>
      <c r="N711" s="49"/>
      <c r="O711" s="49"/>
      <c r="P711" s="49"/>
      <c r="Q711" s="49"/>
      <c r="R711" s="49"/>
      <c r="S711" s="49"/>
      <c r="T711" s="49"/>
      <c r="U711" s="49"/>
      <c r="V711" s="49"/>
      <c r="W711" s="49"/>
    </row>
    <row r="712" spans="1:23">
      <c r="A712" s="49"/>
      <c r="B712" s="49"/>
      <c r="C712" s="49"/>
      <c r="D712" s="49"/>
      <c r="E712" s="49"/>
      <c r="F712" s="49"/>
      <c r="G712" s="49"/>
      <c r="H712" s="49"/>
      <c r="I712" s="49"/>
      <c r="J712" s="49"/>
      <c r="K712" s="49"/>
      <c r="L712" s="49"/>
      <c r="M712" s="49"/>
      <c r="N712" s="49"/>
      <c r="O712" s="49"/>
      <c r="P712" s="49"/>
      <c r="Q712" s="49"/>
      <c r="R712" s="49"/>
      <c r="S712" s="49"/>
      <c r="T712" s="49"/>
      <c r="U712" s="49"/>
      <c r="V712" s="49"/>
      <c r="W712" s="49"/>
    </row>
    <row r="713" spans="1:23">
      <c r="A713" s="49"/>
      <c r="B713" s="49"/>
      <c r="C713" s="49"/>
      <c r="D713" s="49"/>
      <c r="E713" s="49"/>
      <c r="F713" s="49"/>
      <c r="G713" s="49"/>
      <c r="H713" s="49"/>
      <c r="I713" s="49"/>
      <c r="J713" s="49"/>
      <c r="K713" s="49"/>
      <c r="L713" s="49"/>
      <c r="M713" s="49"/>
      <c r="N713" s="49"/>
      <c r="O713" s="49"/>
      <c r="P713" s="49"/>
      <c r="Q713" s="49"/>
      <c r="R713" s="49"/>
      <c r="S713" s="49"/>
      <c r="T713" s="49"/>
      <c r="U713" s="49"/>
      <c r="V713" s="49"/>
      <c r="W713" s="49"/>
    </row>
    <row r="714" spans="1:23">
      <c r="A714" s="49"/>
      <c r="B714" s="49"/>
      <c r="C714" s="49"/>
      <c r="D714" s="49"/>
      <c r="E714" s="49"/>
      <c r="F714" s="49"/>
      <c r="G714" s="49"/>
      <c r="H714" s="49"/>
      <c r="I714" s="49"/>
      <c r="J714" s="49"/>
      <c r="K714" s="49"/>
      <c r="L714" s="49"/>
      <c r="M714" s="49"/>
      <c r="N714" s="49"/>
      <c r="O714" s="49"/>
      <c r="P714" s="49"/>
      <c r="Q714" s="49"/>
      <c r="R714" s="49"/>
      <c r="S714" s="49"/>
      <c r="T714" s="49"/>
      <c r="U714" s="49"/>
      <c r="V714" s="49"/>
      <c r="W714" s="49"/>
    </row>
    <row r="715" spans="1:23">
      <c r="A715" s="49"/>
      <c r="B715" s="49"/>
      <c r="C715" s="49"/>
      <c r="D715" s="49"/>
      <c r="E715" s="49"/>
      <c r="F715" s="49"/>
      <c r="G715" s="49"/>
      <c r="H715" s="49"/>
      <c r="I715" s="49"/>
      <c r="J715" s="49"/>
      <c r="K715" s="49"/>
      <c r="L715" s="49"/>
      <c r="M715" s="49"/>
      <c r="N715" s="49"/>
      <c r="O715" s="49"/>
      <c r="P715" s="49"/>
      <c r="Q715" s="49"/>
      <c r="R715" s="49"/>
      <c r="S715" s="49"/>
      <c r="T715" s="49"/>
      <c r="U715" s="49"/>
      <c r="V715" s="49"/>
      <c r="W715" s="49"/>
    </row>
    <row r="716" spans="1:23">
      <c r="A716" s="49"/>
      <c r="B716" s="49"/>
      <c r="C716" s="49"/>
      <c r="D716" s="49"/>
      <c r="E716" s="49"/>
      <c r="F716" s="49"/>
      <c r="G716" s="49"/>
      <c r="H716" s="49"/>
      <c r="I716" s="49"/>
      <c r="J716" s="49"/>
      <c r="K716" s="49"/>
      <c r="L716" s="49"/>
      <c r="M716" s="49"/>
      <c r="N716" s="49"/>
      <c r="O716" s="49"/>
      <c r="P716" s="49"/>
      <c r="Q716" s="49"/>
      <c r="R716" s="49"/>
      <c r="S716" s="49"/>
      <c r="T716" s="49"/>
      <c r="U716" s="49"/>
      <c r="V716" s="49"/>
      <c r="W716" s="49"/>
    </row>
    <row r="717" spans="1:23">
      <c r="A717" s="49"/>
      <c r="B717" s="49"/>
      <c r="C717" s="49"/>
      <c r="D717" s="49"/>
      <c r="E717" s="49"/>
      <c r="F717" s="49"/>
      <c r="G717" s="49"/>
      <c r="H717" s="49"/>
      <c r="I717" s="49"/>
      <c r="J717" s="49"/>
      <c r="K717" s="49"/>
      <c r="L717" s="49"/>
      <c r="M717" s="49"/>
      <c r="N717" s="49"/>
      <c r="O717" s="49"/>
      <c r="P717" s="49"/>
      <c r="Q717" s="49"/>
      <c r="R717" s="49"/>
      <c r="S717" s="49"/>
      <c r="T717" s="49"/>
      <c r="U717" s="49"/>
      <c r="V717" s="49"/>
      <c r="W717" s="49"/>
    </row>
    <row r="718" spans="1:23">
      <c r="A718" s="49"/>
      <c r="B718" s="49"/>
      <c r="C718" s="49"/>
      <c r="D718" s="49"/>
      <c r="E718" s="49"/>
      <c r="F718" s="49"/>
      <c r="G718" s="49"/>
      <c r="H718" s="49"/>
      <c r="I718" s="49"/>
      <c r="J718" s="49"/>
      <c r="K718" s="49"/>
      <c r="L718" s="49"/>
      <c r="M718" s="49"/>
      <c r="N718" s="49"/>
      <c r="O718" s="49"/>
      <c r="P718" s="49"/>
      <c r="Q718" s="49"/>
      <c r="R718" s="49"/>
      <c r="S718" s="49"/>
      <c r="T718" s="49"/>
      <c r="U718" s="49"/>
      <c r="V718" s="49"/>
      <c r="W718" s="49"/>
    </row>
    <row r="719" spans="1:23">
      <c r="A719" s="49"/>
      <c r="B719" s="49"/>
      <c r="C719" s="49"/>
      <c r="D719" s="49"/>
      <c r="E719" s="49"/>
      <c r="F719" s="49"/>
      <c r="G719" s="49"/>
      <c r="H719" s="49"/>
      <c r="I719" s="49"/>
      <c r="J719" s="49"/>
      <c r="K719" s="49"/>
      <c r="L719" s="49"/>
      <c r="M719" s="49"/>
      <c r="N719" s="49"/>
      <c r="O719" s="49"/>
      <c r="P719" s="49"/>
      <c r="Q719" s="49"/>
      <c r="R719" s="49"/>
      <c r="S719" s="49"/>
      <c r="T719" s="49"/>
      <c r="U719" s="49"/>
      <c r="V719" s="49"/>
      <c r="W719" s="49"/>
    </row>
    <row r="720" spans="1:23">
      <c r="A720" s="49"/>
      <c r="B720" s="49"/>
      <c r="C720" s="49"/>
      <c r="D720" s="49"/>
      <c r="E720" s="49"/>
      <c r="F720" s="49"/>
      <c r="G720" s="49"/>
      <c r="H720" s="49"/>
      <c r="I720" s="49"/>
      <c r="J720" s="49"/>
      <c r="K720" s="49"/>
      <c r="L720" s="49"/>
      <c r="M720" s="49"/>
      <c r="N720" s="49"/>
      <c r="O720" s="49"/>
      <c r="P720" s="49"/>
      <c r="Q720" s="49"/>
      <c r="R720" s="49"/>
      <c r="S720" s="49"/>
      <c r="T720" s="49"/>
      <c r="U720" s="49"/>
      <c r="V720" s="49"/>
      <c r="W720" s="49"/>
    </row>
    <row r="721" spans="1:23">
      <c r="A721" s="49"/>
      <c r="B721" s="49"/>
      <c r="C721" s="49"/>
      <c r="D721" s="49"/>
      <c r="E721" s="49"/>
      <c r="F721" s="49"/>
      <c r="G721" s="49"/>
      <c r="H721" s="49"/>
      <c r="I721" s="49"/>
      <c r="J721" s="49"/>
      <c r="K721" s="49"/>
      <c r="L721" s="49"/>
      <c r="M721" s="49"/>
      <c r="N721" s="49"/>
      <c r="O721" s="49"/>
      <c r="P721" s="49"/>
      <c r="Q721" s="49"/>
      <c r="R721" s="49"/>
      <c r="S721" s="49"/>
      <c r="T721" s="49"/>
      <c r="U721" s="49"/>
      <c r="V721" s="49"/>
      <c r="W721" s="49"/>
    </row>
    <row r="722" spans="1:23">
      <c r="A722" s="49"/>
      <c r="B722" s="49"/>
      <c r="C722" s="49"/>
      <c r="D722" s="49"/>
      <c r="E722" s="49"/>
      <c r="F722" s="49"/>
      <c r="G722" s="49"/>
      <c r="H722" s="49"/>
      <c r="I722" s="49"/>
      <c r="J722" s="49"/>
      <c r="K722" s="49"/>
      <c r="L722" s="49"/>
      <c r="M722" s="49"/>
      <c r="N722" s="49"/>
      <c r="O722" s="49"/>
      <c r="P722" s="49"/>
      <c r="Q722" s="49"/>
      <c r="R722" s="49"/>
      <c r="S722" s="49"/>
      <c r="T722" s="49"/>
      <c r="U722" s="49"/>
      <c r="V722" s="49"/>
      <c r="W722" s="49"/>
    </row>
    <row r="723" spans="1:23">
      <c r="A723" s="49"/>
      <c r="B723" s="49"/>
      <c r="C723" s="49"/>
      <c r="D723" s="49"/>
      <c r="E723" s="49"/>
      <c r="F723" s="49"/>
      <c r="G723" s="49"/>
      <c r="H723" s="49"/>
      <c r="I723" s="49"/>
      <c r="J723" s="49"/>
      <c r="K723" s="49"/>
      <c r="L723" s="49"/>
      <c r="M723" s="49"/>
      <c r="N723" s="49"/>
      <c r="O723" s="49"/>
      <c r="P723" s="49"/>
      <c r="Q723" s="49"/>
      <c r="R723" s="49"/>
      <c r="S723" s="49"/>
      <c r="T723" s="49"/>
      <c r="U723" s="49"/>
      <c r="V723" s="49"/>
      <c r="W723" s="49"/>
    </row>
    <row r="724" spans="1:23">
      <c r="A724" s="49"/>
      <c r="B724" s="49"/>
      <c r="C724" s="49"/>
      <c r="D724" s="49"/>
      <c r="E724" s="49"/>
      <c r="F724" s="49"/>
      <c r="G724" s="49"/>
      <c r="H724" s="49"/>
      <c r="I724" s="49"/>
      <c r="J724" s="49"/>
      <c r="K724" s="49"/>
      <c r="L724" s="49"/>
      <c r="M724" s="49"/>
      <c r="N724" s="49"/>
      <c r="O724" s="49"/>
      <c r="P724" s="49"/>
      <c r="Q724" s="49"/>
      <c r="R724" s="49"/>
      <c r="S724" s="49"/>
      <c r="T724" s="49"/>
      <c r="U724" s="49"/>
      <c r="V724" s="49"/>
      <c r="W724" s="49"/>
    </row>
    <row r="725" spans="1:23">
      <c r="A725" s="49"/>
      <c r="B725" s="49"/>
      <c r="C725" s="49"/>
      <c r="D725" s="49"/>
      <c r="E725" s="49"/>
      <c r="F725" s="49"/>
      <c r="G725" s="49"/>
      <c r="H725" s="49"/>
      <c r="I725" s="49"/>
      <c r="J725" s="49"/>
      <c r="K725" s="49"/>
      <c r="L725" s="49"/>
      <c r="M725" s="49"/>
      <c r="N725" s="49"/>
      <c r="O725" s="49"/>
      <c r="P725" s="49"/>
      <c r="Q725" s="49"/>
      <c r="R725" s="49"/>
      <c r="S725" s="49"/>
      <c r="T725" s="49"/>
      <c r="U725" s="49"/>
      <c r="V725" s="49"/>
      <c r="W725" s="49"/>
    </row>
    <row r="726" spans="1:23">
      <c r="A726" s="49"/>
      <c r="B726" s="49"/>
      <c r="C726" s="49"/>
      <c r="D726" s="49"/>
      <c r="E726" s="49"/>
      <c r="F726" s="49"/>
      <c r="G726" s="49"/>
      <c r="H726" s="49"/>
      <c r="I726" s="49"/>
      <c r="J726" s="49"/>
      <c r="K726" s="49"/>
      <c r="L726" s="49"/>
      <c r="M726" s="49"/>
      <c r="N726" s="49"/>
      <c r="O726" s="49"/>
      <c r="P726" s="49"/>
      <c r="Q726" s="49"/>
      <c r="R726" s="49"/>
      <c r="S726" s="49"/>
      <c r="T726" s="49"/>
      <c r="U726" s="49"/>
      <c r="V726" s="49"/>
      <c r="W726" s="49"/>
    </row>
    <row r="727" spans="1:23">
      <c r="A727" s="49"/>
      <c r="B727" s="49"/>
      <c r="C727" s="49"/>
      <c r="D727" s="49"/>
      <c r="E727" s="49"/>
      <c r="F727" s="49"/>
      <c r="G727" s="49"/>
      <c r="H727" s="49"/>
      <c r="I727" s="49"/>
      <c r="J727" s="49"/>
      <c r="K727" s="49"/>
      <c r="L727" s="49"/>
      <c r="M727" s="49"/>
      <c r="N727" s="49"/>
      <c r="O727" s="49"/>
      <c r="P727" s="49"/>
      <c r="Q727" s="49"/>
      <c r="R727" s="49"/>
      <c r="S727" s="49"/>
      <c r="T727" s="49"/>
      <c r="U727" s="49"/>
      <c r="V727" s="49"/>
      <c r="W727" s="49"/>
    </row>
    <row r="728" spans="1:23">
      <c r="A728" s="49"/>
      <c r="B728" s="49"/>
      <c r="C728" s="49"/>
      <c r="D728" s="49"/>
      <c r="E728" s="49"/>
      <c r="F728" s="49"/>
      <c r="G728" s="49"/>
      <c r="H728" s="49"/>
      <c r="I728" s="49"/>
      <c r="J728" s="49"/>
      <c r="K728" s="49"/>
      <c r="L728" s="49"/>
      <c r="M728" s="49"/>
      <c r="N728" s="49"/>
      <c r="O728" s="49"/>
      <c r="P728" s="49"/>
      <c r="Q728" s="49"/>
      <c r="R728" s="49"/>
      <c r="S728" s="49"/>
      <c r="T728" s="49"/>
      <c r="U728" s="49"/>
      <c r="V728" s="49"/>
      <c r="W728" s="49"/>
    </row>
    <row r="729" spans="1:23">
      <c r="A729" s="49"/>
      <c r="B729" s="49"/>
      <c r="C729" s="49"/>
      <c r="D729" s="49"/>
      <c r="E729" s="49"/>
      <c r="F729" s="49"/>
      <c r="G729" s="49"/>
      <c r="H729" s="49"/>
      <c r="I729" s="49"/>
      <c r="J729" s="49"/>
      <c r="K729" s="49"/>
      <c r="L729" s="49"/>
      <c r="M729" s="49"/>
      <c r="N729" s="49"/>
      <c r="O729" s="49"/>
      <c r="P729" s="49"/>
      <c r="Q729" s="49"/>
      <c r="R729" s="49"/>
      <c r="S729" s="49"/>
      <c r="T729" s="49"/>
      <c r="U729" s="49"/>
      <c r="V729" s="49"/>
      <c r="W729" s="49"/>
    </row>
    <row r="730" spans="1:23">
      <c r="A730" s="49"/>
      <c r="B730" s="49"/>
      <c r="C730" s="49"/>
      <c r="D730" s="49"/>
      <c r="E730" s="49"/>
      <c r="F730" s="49"/>
      <c r="G730" s="49"/>
      <c r="H730" s="49"/>
      <c r="I730" s="49"/>
      <c r="J730" s="49"/>
      <c r="K730" s="49"/>
      <c r="L730" s="49"/>
      <c r="M730" s="49"/>
      <c r="N730" s="49"/>
      <c r="O730" s="49"/>
      <c r="P730" s="49"/>
      <c r="Q730" s="49"/>
      <c r="R730" s="49"/>
      <c r="S730" s="49"/>
      <c r="T730" s="49"/>
      <c r="U730" s="49"/>
      <c r="V730" s="49"/>
      <c r="W730" s="49"/>
    </row>
    <row r="731" spans="1:23">
      <c r="A731" s="49"/>
      <c r="B731" s="49"/>
      <c r="C731" s="49"/>
      <c r="D731" s="49"/>
      <c r="E731" s="49"/>
      <c r="F731" s="49"/>
      <c r="G731" s="49"/>
      <c r="H731" s="49"/>
      <c r="I731" s="49"/>
      <c r="J731" s="49"/>
      <c r="K731" s="49"/>
      <c r="L731" s="49"/>
      <c r="M731" s="49"/>
      <c r="N731" s="49"/>
      <c r="O731" s="49"/>
      <c r="P731" s="49"/>
      <c r="Q731" s="49"/>
      <c r="R731" s="49"/>
      <c r="S731" s="49"/>
      <c r="T731" s="49"/>
      <c r="U731" s="49"/>
      <c r="V731" s="49"/>
      <c r="W731" s="49"/>
    </row>
    <row r="732" spans="1:23">
      <c r="A732" s="49"/>
      <c r="B732" s="49"/>
      <c r="C732" s="49"/>
      <c r="D732" s="49"/>
      <c r="E732" s="49"/>
      <c r="F732" s="49"/>
      <c r="G732" s="49"/>
      <c r="H732" s="49"/>
      <c r="I732" s="49"/>
      <c r="J732" s="49"/>
      <c r="K732" s="49"/>
      <c r="L732" s="49"/>
      <c r="M732" s="49"/>
      <c r="N732" s="49"/>
      <c r="O732" s="49"/>
      <c r="P732" s="49"/>
      <c r="Q732" s="49"/>
      <c r="R732" s="49"/>
      <c r="S732" s="49"/>
      <c r="T732" s="49"/>
      <c r="U732" s="49"/>
      <c r="V732" s="49"/>
      <c r="W732" s="49"/>
    </row>
    <row r="733" spans="1:23">
      <c r="A733" s="49"/>
      <c r="B733" s="49"/>
      <c r="C733" s="49"/>
      <c r="D733" s="49"/>
      <c r="E733" s="49"/>
      <c r="F733" s="49"/>
      <c r="G733" s="49"/>
      <c r="H733" s="49"/>
      <c r="I733" s="49"/>
      <c r="J733" s="49"/>
      <c r="K733" s="49"/>
      <c r="L733" s="49"/>
      <c r="M733" s="49"/>
      <c r="N733" s="49"/>
      <c r="O733" s="49"/>
      <c r="P733" s="49"/>
      <c r="Q733" s="49"/>
      <c r="R733" s="49"/>
      <c r="S733" s="49"/>
      <c r="T733" s="49"/>
      <c r="U733" s="49"/>
      <c r="V733" s="49"/>
      <c r="W733" s="49"/>
    </row>
    <row r="734" spans="1:23">
      <c r="A734" s="49"/>
      <c r="B734" s="49"/>
      <c r="C734" s="49"/>
      <c r="D734" s="49"/>
      <c r="E734" s="49"/>
      <c r="F734" s="49"/>
      <c r="G734" s="49"/>
      <c r="H734" s="49"/>
      <c r="I734" s="49"/>
      <c r="J734" s="49"/>
      <c r="K734" s="49"/>
      <c r="L734" s="49"/>
      <c r="M734" s="49"/>
      <c r="N734" s="49"/>
      <c r="O734" s="49"/>
      <c r="P734" s="49"/>
      <c r="Q734" s="49"/>
      <c r="R734" s="49"/>
      <c r="S734" s="49"/>
      <c r="T734" s="49"/>
      <c r="U734" s="49"/>
      <c r="V734" s="49"/>
      <c r="W734" s="49"/>
    </row>
    <row r="735" spans="1:23">
      <c r="A735" s="49"/>
      <c r="B735" s="49"/>
      <c r="C735" s="49"/>
      <c r="D735" s="49"/>
      <c r="E735" s="49"/>
      <c r="F735" s="49"/>
      <c r="G735" s="49"/>
      <c r="H735" s="49"/>
      <c r="I735" s="49"/>
      <c r="J735" s="49"/>
      <c r="K735" s="49"/>
      <c r="L735" s="49"/>
      <c r="M735" s="49"/>
      <c r="N735" s="49"/>
      <c r="O735" s="49"/>
      <c r="P735" s="49"/>
      <c r="Q735" s="49"/>
      <c r="R735" s="49"/>
      <c r="S735" s="49"/>
      <c r="T735" s="49"/>
      <c r="U735" s="49"/>
      <c r="V735" s="49"/>
      <c r="W735" s="49"/>
    </row>
    <row r="736" spans="1:23">
      <c r="A736" s="49"/>
      <c r="B736" s="49"/>
      <c r="C736" s="49"/>
      <c r="D736" s="49"/>
      <c r="E736" s="49"/>
      <c r="F736" s="49"/>
      <c r="G736" s="49"/>
      <c r="H736" s="49"/>
      <c r="I736" s="49"/>
      <c r="J736" s="49"/>
      <c r="K736" s="49"/>
      <c r="L736" s="49"/>
      <c r="M736" s="49"/>
      <c r="N736" s="49"/>
      <c r="O736" s="49"/>
      <c r="P736" s="49"/>
      <c r="Q736" s="49"/>
      <c r="R736" s="49"/>
      <c r="S736" s="49"/>
      <c r="T736" s="49"/>
      <c r="U736" s="49"/>
      <c r="V736" s="49"/>
      <c r="W736" s="49"/>
    </row>
    <row r="737" spans="1:23">
      <c r="A737" s="49"/>
      <c r="B737" s="49"/>
      <c r="C737" s="49"/>
      <c r="D737" s="49"/>
      <c r="E737" s="49"/>
      <c r="F737" s="49"/>
      <c r="G737" s="49"/>
      <c r="H737" s="49"/>
      <c r="I737" s="49"/>
      <c r="J737" s="49"/>
      <c r="K737" s="49"/>
      <c r="L737" s="49"/>
      <c r="M737" s="49"/>
      <c r="N737" s="49"/>
      <c r="O737" s="49"/>
      <c r="P737" s="49"/>
      <c r="Q737" s="49"/>
      <c r="R737" s="49"/>
      <c r="S737" s="49"/>
      <c r="T737" s="49"/>
      <c r="U737" s="49"/>
      <c r="V737" s="49"/>
      <c r="W737" s="49"/>
    </row>
    <row r="738" spans="1:23">
      <c r="A738" s="49"/>
      <c r="B738" s="49"/>
      <c r="C738" s="49"/>
      <c r="D738" s="49"/>
      <c r="E738" s="49"/>
      <c r="F738" s="49"/>
      <c r="G738" s="49"/>
      <c r="H738" s="49"/>
      <c r="I738" s="49"/>
      <c r="J738" s="49"/>
      <c r="K738" s="49"/>
      <c r="L738" s="49"/>
      <c r="M738" s="49"/>
      <c r="N738" s="49"/>
      <c r="O738" s="49"/>
      <c r="P738" s="49"/>
      <c r="Q738" s="49"/>
      <c r="R738" s="49"/>
      <c r="S738" s="49"/>
      <c r="T738" s="49"/>
      <c r="U738" s="49"/>
      <c r="V738" s="49"/>
      <c r="W738" s="49"/>
    </row>
    <row r="739" spans="1:23">
      <c r="A739" s="49"/>
      <c r="B739" s="49"/>
      <c r="C739" s="49"/>
      <c r="D739" s="49"/>
      <c r="E739" s="49"/>
      <c r="F739" s="49"/>
      <c r="G739" s="49"/>
      <c r="H739" s="49"/>
      <c r="I739" s="49"/>
      <c r="J739" s="49"/>
      <c r="K739" s="49"/>
      <c r="L739" s="49"/>
      <c r="M739" s="49"/>
      <c r="N739" s="49"/>
      <c r="O739" s="49"/>
      <c r="P739" s="49"/>
      <c r="Q739" s="49"/>
      <c r="R739" s="49"/>
      <c r="S739" s="49"/>
      <c r="T739" s="49"/>
      <c r="U739" s="49"/>
      <c r="V739" s="49"/>
      <c r="W739" s="49"/>
    </row>
    <row r="740" spans="1:23">
      <c r="A740" s="49"/>
      <c r="B740" s="49"/>
      <c r="C740" s="49"/>
      <c r="D740" s="49"/>
      <c r="E740" s="49"/>
      <c r="F740" s="49"/>
      <c r="G740" s="49"/>
      <c r="H740" s="49"/>
      <c r="I740" s="49"/>
      <c r="J740" s="49"/>
      <c r="K740" s="49"/>
      <c r="L740" s="49"/>
      <c r="M740" s="49"/>
      <c r="N740" s="49"/>
      <c r="O740" s="49"/>
      <c r="P740" s="49"/>
      <c r="Q740" s="49"/>
      <c r="R740" s="49"/>
      <c r="S740" s="49"/>
      <c r="T740" s="49"/>
      <c r="U740" s="49"/>
      <c r="V740" s="49"/>
      <c r="W740" s="49"/>
    </row>
    <row r="741" spans="1:23">
      <c r="A741" s="49"/>
      <c r="B741" s="49"/>
      <c r="C741" s="49"/>
      <c r="D741" s="49"/>
      <c r="E741" s="49"/>
      <c r="F741" s="49"/>
      <c r="G741" s="49"/>
      <c r="H741" s="49"/>
      <c r="I741" s="49"/>
      <c r="J741" s="49"/>
      <c r="K741" s="49"/>
      <c r="L741" s="49"/>
      <c r="M741" s="49"/>
      <c r="N741" s="49"/>
      <c r="O741" s="49"/>
      <c r="P741" s="49"/>
      <c r="Q741" s="49"/>
      <c r="R741" s="49"/>
      <c r="S741" s="49"/>
      <c r="T741" s="49"/>
      <c r="U741" s="49"/>
      <c r="V741" s="49"/>
      <c r="W741" s="49"/>
    </row>
    <row r="742" spans="1:23">
      <c r="A742" s="49"/>
      <c r="B742" s="49"/>
      <c r="C742" s="49"/>
      <c r="D742" s="49"/>
      <c r="E742" s="49"/>
      <c r="F742" s="49"/>
      <c r="G742" s="49"/>
      <c r="H742" s="49"/>
      <c r="I742" s="49"/>
      <c r="J742" s="49"/>
      <c r="K742" s="49"/>
      <c r="L742" s="49"/>
      <c r="M742" s="49"/>
      <c r="N742" s="49"/>
      <c r="O742" s="49"/>
      <c r="P742" s="49"/>
      <c r="Q742" s="49"/>
      <c r="R742" s="49"/>
      <c r="S742" s="49"/>
      <c r="T742" s="49"/>
      <c r="U742" s="49"/>
      <c r="V742" s="49"/>
      <c r="W742" s="49"/>
    </row>
    <row r="743" spans="1:23">
      <c r="A743" s="49"/>
      <c r="B743" s="49"/>
      <c r="C743" s="49"/>
      <c r="D743" s="49"/>
      <c r="E743" s="49"/>
      <c r="F743" s="49"/>
      <c r="G743" s="49"/>
      <c r="H743" s="49"/>
      <c r="I743" s="49"/>
      <c r="J743" s="49"/>
      <c r="K743" s="49"/>
      <c r="L743" s="49"/>
      <c r="M743" s="49"/>
      <c r="N743" s="49"/>
      <c r="O743" s="49"/>
      <c r="P743" s="49"/>
      <c r="Q743" s="49"/>
      <c r="R743" s="49"/>
      <c r="S743" s="49"/>
      <c r="T743" s="49"/>
      <c r="U743" s="49"/>
      <c r="V743" s="49"/>
      <c r="W743" s="49"/>
    </row>
    <row r="744" spans="1:23">
      <c r="A744" s="49"/>
      <c r="B744" s="49"/>
      <c r="C744" s="49"/>
      <c r="D744" s="49"/>
      <c r="E744" s="49"/>
      <c r="F744" s="49"/>
      <c r="G744" s="49"/>
      <c r="H744" s="49"/>
      <c r="I744" s="49"/>
      <c r="J744" s="49"/>
      <c r="K744" s="49"/>
      <c r="L744" s="49"/>
      <c r="M744" s="49"/>
      <c r="N744" s="49"/>
      <c r="O744" s="49"/>
      <c r="P744" s="49"/>
      <c r="Q744" s="49"/>
      <c r="R744" s="49"/>
      <c r="S744" s="49"/>
      <c r="T744" s="49"/>
      <c r="U744" s="49"/>
      <c r="V744" s="49"/>
      <c r="W744" s="49"/>
    </row>
    <row r="745" spans="1:23">
      <c r="A745" s="49"/>
      <c r="B745" s="49"/>
      <c r="C745" s="49"/>
      <c r="D745" s="49"/>
      <c r="E745" s="49"/>
      <c r="F745" s="49"/>
      <c r="G745" s="49"/>
      <c r="H745" s="49"/>
      <c r="I745" s="49"/>
      <c r="J745" s="49"/>
      <c r="K745" s="49"/>
      <c r="L745" s="49"/>
      <c r="M745" s="49"/>
      <c r="N745" s="49"/>
      <c r="O745" s="49"/>
      <c r="P745" s="49"/>
      <c r="Q745" s="49"/>
      <c r="R745" s="49"/>
      <c r="S745" s="49"/>
      <c r="T745" s="49"/>
      <c r="U745" s="49"/>
      <c r="V745" s="49"/>
      <c r="W745" s="49"/>
    </row>
    <row r="746" spans="1:23">
      <c r="A746" s="49"/>
      <c r="B746" s="49"/>
      <c r="C746" s="49"/>
      <c r="D746" s="49"/>
      <c r="E746" s="49"/>
      <c r="F746" s="49"/>
      <c r="G746" s="49"/>
      <c r="H746" s="49"/>
      <c r="I746" s="49"/>
      <c r="J746" s="49"/>
      <c r="K746" s="49"/>
      <c r="L746" s="49"/>
      <c r="M746" s="49"/>
      <c r="N746" s="49"/>
      <c r="O746" s="49"/>
      <c r="P746" s="49"/>
      <c r="Q746" s="49"/>
      <c r="R746" s="49"/>
      <c r="S746" s="49"/>
      <c r="T746" s="49"/>
      <c r="U746" s="49"/>
      <c r="V746" s="49"/>
      <c r="W746" s="49"/>
    </row>
    <row r="747" spans="1:23">
      <c r="A747" s="49"/>
      <c r="B747" s="49"/>
      <c r="C747" s="49"/>
      <c r="D747" s="49"/>
      <c r="E747" s="49"/>
      <c r="F747" s="49"/>
      <c r="G747" s="49"/>
      <c r="H747" s="49"/>
      <c r="I747" s="49"/>
      <c r="J747" s="49"/>
      <c r="K747" s="49"/>
      <c r="L747" s="49"/>
      <c r="M747" s="49"/>
      <c r="N747" s="49"/>
      <c r="O747" s="49"/>
      <c r="P747" s="49"/>
      <c r="Q747" s="49"/>
      <c r="R747" s="49"/>
      <c r="S747" s="49"/>
      <c r="T747" s="49"/>
      <c r="U747" s="49"/>
      <c r="V747" s="49"/>
      <c r="W747" s="49"/>
    </row>
    <row r="748" spans="1:23">
      <c r="A748" s="49"/>
      <c r="B748" s="49"/>
      <c r="C748" s="49"/>
      <c r="D748" s="49"/>
      <c r="E748" s="49"/>
      <c r="F748" s="49"/>
      <c r="G748" s="49"/>
      <c r="H748" s="49"/>
      <c r="I748" s="49"/>
      <c r="J748" s="49"/>
      <c r="K748" s="49"/>
      <c r="L748" s="49"/>
      <c r="M748" s="49"/>
      <c r="N748" s="49"/>
      <c r="O748" s="49"/>
      <c r="P748" s="49"/>
      <c r="Q748" s="49"/>
      <c r="R748" s="49"/>
      <c r="S748" s="49"/>
      <c r="T748" s="49"/>
      <c r="U748" s="49"/>
      <c r="V748" s="49"/>
      <c r="W748" s="49"/>
    </row>
    <row r="749" spans="1:23">
      <c r="A749" s="49"/>
      <c r="B749" s="49"/>
      <c r="C749" s="49"/>
      <c r="D749" s="49"/>
      <c r="E749" s="49"/>
      <c r="F749" s="49"/>
      <c r="G749" s="49"/>
      <c r="H749" s="49"/>
      <c r="I749" s="49"/>
      <c r="J749" s="49"/>
      <c r="K749" s="49"/>
      <c r="L749" s="49"/>
      <c r="M749" s="49"/>
      <c r="N749" s="49"/>
      <c r="O749" s="49"/>
      <c r="P749" s="49"/>
      <c r="Q749" s="49"/>
      <c r="R749" s="49"/>
      <c r="S749" s="49"/>
      <c r="T749" s="49"/>
      <c r="U749" s="49"/>
      <c r="V749" s="49"/>
      <c r="W749" s="49"/>
    </row>
    <row r="750" spans="1:23">
      <c r="A750" s="49"/>
      <c r="B750" s="49"/>
      <c r="C750" s="49"/>
      <c r="D750" s="49"/>
      <c r="E750" s="49"/>
      <c r="F750" s="49"/>
      <c r="G750" s="49"/>
      <c r="H750" s="49"/>
      <c r="I750" s="49"/>
      <c r="J750" s="49"/>
      <c r="K750" s="49"/>
      <c r="L750" s="49"/>
      <c r="M750" s="49"/>
      <c r="N750" s="49"/>
      <c r="O750" s="49"/>
      <c r="P750" s="49"/>
      <c r="Q750" s="49"/>
      <c r="R750" s="49"/>
      <c r="S750" s="49"/>
      <c r="T750" s="49"/>
      <c r="U750" s="49"/>
      <c r="V750" s="49"/>
      <c r="W750" s="49"/>
    </row>
    <row r="751" spans="1:23">
      <c r="A751" s="49"/>
      <c r="B751" s="49"/>
      <c r="C751" s="49"/>
      <c r="D751" s="49"/>
      <c r="E751" s="49"/>
      <c r="F751" s="49"/>
      <c r="G751" s="49"/>
      <c r="H751" s="49"/>
      <c r="I751" s="49"/>
      <c r="J751" s="49"/>
      <c r="K751" s="49"/>
      <c r="L751" s="49"/>
      <c r="M751" s="49"/>
      <c r="N751" s="49"/>
      <c r="O751" s="49"/>
      <c r="P751" s="49"/>
      <c r="Q751" s="49"/>
      <c r="R751" s="49"/>
      <c r="S751" s="49"/>
      <c r="T751" s="49"/>
      <c r="U751" s="49"/>
      <c r="V751" s="49"/>
      <c r="W751" s="49"/>
    </row>
    <row r="752" spans="1:23">
      <c r="A752" s="49"/>
      <c r="B752" s="49"/>
      <c r="C752" s="49"/>
      <c r="D752" s="49"/>
      <c r="E752" s="49"/>
      <c r="F752" s="49"/>
      <c r="G752" s="49"/>
      <c r="H752" s="49"/>
      <c r="I752" s="49"/>
      <c r="J752" s="49"/>
      <c r="K752" s="49"/>
      <c r="L752" s="49"/>
      <c r="M752" s="49"/>
      <c r="N752" s="49"/>
      <c r="O752" s="49"/>
      <c r="P752" s="49"/>
      <c r="Q752" s="49"/>
      <c r="R752" s="49"/>
      <c r="S752" s="49"/>
      <c r="T752" s="49"/>
      <c r="U752" s="49"/>
      <c r="V752" s="49"/>
      <c r="W752" s="49"/>
    </row>
    <row r="753" spans="1:23">
      <c r="A753" s="49"/>
      <c r="B753" s="49"/>
      <c r="C753" s="49"/>
      <c r="D753" s="49"/>
      <c r="E753" s="49"/>
      <c r="F753" s="49"/>
      <c r="G753" s="49"/>
      <c r="H753" s="49"/>
      <c r="I753" s="49"/>
      <c r="J753" s="49"/>
      <c r="K753" s="49"/>
      <c r="L753" s="49"/>
      <c r="M753" s="49"/>
      <c r="N753" s="49"/>
      <c r="O753" s="49"/>
      <c r="P753" s="49"/>
      <c r="Q753" s="49"/>
      <c r="R753" s="49"/>
      <c r="S753" s="49"/>
      <c r="T753" s="49"/>
      <c r="U753" s="49"/>
      <c r="V753" s="49"/>
      <c r="W753" s="49"/>
    </row>
    <row r="754" spans="1:23">
      <c r="A754" s="49"/>
      <c r="B754" s="49"/>
      <c r="C754" s="49"/>
      <c r="D754" s="49"/>
      <c r="E754" s="49"/>
      <c r="F754" s="49"/>
      <c r="G754" s="49"/>
      <c r="H754" s="49"/>
      <c r="I754" s="49"/>
      <c r="J754" s="49"/>
      <c r="K754" s="49"/>
      <c r="L754" s="49"/>
      <c r="M754" s="49"/>
      <c r="N754" s="49"/>
      <c r="O754" s="49"/>
      <c r="P754" s="49"/>
      <c r="Q754" s="49"/>
      <c r="R754" s="49"/>
      <c r="S754" s="49"/>
      <c r="T754" s="49"/>
      <c r="U754" s="49"/>
      <c r="V754" s="49"/>
      <c r="W754" s="49"/>
    </row>
    <row r="755" spans="1:23">
      <c r="A755" s="49"/>
      <c r="B755" s="49"/>
      <c r="C755" s="49"/>
      <c r="D755" s="49"/>
      <c r="E755" s="49"/>
      <c r="F755" s="49"/>
      <c r="G755" s="49"/>
      <c r="H755" s="49"/>
      <c r="I755" s="49"/>
      <c r="J755" s="49"/>
      <c r="K755" s="49"/>
      <c r="L755" s="49"/>
      <c r="M755" s="49"/>
      <c r="N755" s="49"/>
      <c r="O755" s="49"/>
      <c r="P755" s="49"/>
      <c r="Q755" s="49"/>
      <c r="R755" s="49"/>
      <c r="S755" s="49"/>
      <c r="T755" s="49"/>
      <c r="U755" s="49"/>
      <c r="V755" s="49"/>
      <c r="W755" s="49"/>
    </row>
    <row r="756" spans="1:23">
      <c r="A756" s="49"/>
      <c r="B756" s="49"/>
      <c r="C756" s="49"/>
      <c r="D756" s="49"/>
      <c r="E756" s="49"/>
      <c r="F756" s="49"/>
      <c r="G756" s="49"/>
      <c r="H756" s="49"/>
      <c r="I756" s="49"/>
      <c r="J756" s="49"/>
      <c r="K756" s="49"/>
      <c r="L756" s="49"/>
      <c r="M756" s="49"/>
      <c r="N756" s="49"/>
      <c r="O756" s="49"/>
      <c r="P756" s="49"/>
      <c r="Q756" s="49"/>
      <c r="R756" s="49"/>
      <c r="S756" s="49"/>
      <c r="T756" s="49"/>
      <c r="U756" s="49"/>
      <c r="V756" s="49"/>
      <c r="W756" s="49"/>
    </row>
    <row r="757" spans="1:23">
      <c r="A757" s="49"/>
      <c r="B757" s="49"/>
      <c r="C757" s="49"/>
      <c r="D757" s="49"/>
      <c r="E757" s="49"/>
      <c r="F757" s="49"/>
      <c r="G757" s="49"/>
      <c r="H757" s="49"/>
      <c r="I757" s="49"/>
      <c r="J757" s="49"/>
      <c r="K757" s="49"/>
      <c r="L757" s="49"/>
      <c r="M757" s="49"/>
      <c r="N757" s="49"/>
      <c r="O757" s="49"/>
      <c r="P757" s="49"/>
      <c r="Q757" s="49"/>
      <c r="R757" s="49"/>
      <c r="S757" s="49"/>
      <c r="T757" s="49"/>
      <c r="U757" s="49"/>
      <c r="V757" s="49"/>
      <c r="W757" s="49"/>
    </row>
    <row r="758" spans="1:23">
      <c r="A758" s="49"/>
      <c r="B758" s="49"/>
      <c r="C758" s="49"/>
      <c r="D758" s="49"/>
      <c r="E758" s="49"/>
      <c r="F758" s="49"/>
      <c r="G758" s="49"/>
      <c r="H758" s="49"/>
      <c r="I758" s="49"/>
      <c r="J758" s="49"/>
      <c r="K758" s="49"/>
      <c r="L758" s="49"/>
      <c r="M758" s="49"/>
      <c r="N758" s="49"/>
      <c r="O758" s="49"/>
      <c r="P758" s="49"/>
      <c r="Q758" s="49"/>
      <c r="R758" s="49"/>
      <c r="S758" s="49"/>
      <c r="T758" s="49"/>
      <c r="U758" s="49"/>
      <c r="V758" s="49"/>
      <c r="W758" s="49"/>
    </row>
    <row r="759" spans="1:23">
      <c r="A759" s="49"/>
      <c r="B759" s="49"/>
      <c r="C759" s="49"/>
      <c r="D759" s="49"/>
      <c r="E759" s="49"/>
      <c r="F759" s="49"/>
      <c r="G759" s="49"/>
      <c r="H759" s="49"/>
      <c r="I759" s="49"/>
      <c r="J759" s="49"/>
      <c r="K759" s="49"/>
      <c r="L759" s="49"/>
      <c r="M759" s="49"/>
      <c r="N759" s="49"/>
      <c r="O759" s="49"/>
      <c r="P759" s="49"/>
      <c r="Q759" s="49"/>
      <c r="R759" s="49"/>
      <c r="S759" s="49"/>
      <c r="T759" s="49"/>
      <c r="U759" s="49"/>
      <c r="V759" s="49"/>
      <c r="W759" s="49"/>
    </row>
    <row r="760" spans="1:23">
      <c r="A760" s="49"/>
      <c r="B760" s="49"/>
      <c r="C760" s="49"/>
      <c r="D760" s="49"/>
      <c r="E760" s="49"/>
      <c r="F760" s="49"/>
      <c r="G760" s="49"/>
      <c r="H760" s="49"/>
      <c r="I760" s="49"/>
      <c r="J760" s="49"/>
      <c r="K760" s="49"/>
      <c r="L760" s="49"/>
      <c r="M760" s="49"/>
      <c r="N760" s="49"/>
      <c r="O760" s="49"/>
      <c r="P760" s="49"/>
      <c r="Q760" s="49"/>
      <c r="R760" s="49"/>
      <c r="S760" s="49"/>
      <c r="T760" s="49"/>
      <c r="U760" s="49"/>
      <c r="V760" s="49"/>
      <c r="W760" s="49"/>
    </row>
    <row r="761" spans="1:23">
      <c r="A761" s="49"/>
      <c r="B761" s="49"/>
      <c r="C761" s="49"/>
      <c r="D761" s="49"/>
      <c r="E761" s="49"/>
      <c r="F761" s="49"/>
      <c r="G761" s="49"/>
      <c r="H761" s="49"/>
      <c r="I761" s="49"/>
      <c r="J761" s="49"/>
      <c r="K761" s="49"/>
      <c r="L761" s="49"/>
      <c r="M761" s="49"/>
      <c r="N761" s="49"/>
      <c r="O761" s="49"/>
      <c r="P761" s="49"/>
      <c r="Q761" s="49"/>
      <c r="R761" s="49"/>
      <c r="S761" s="49"/>
      <c r="T761" s="49"/>
      <c r="U761" s="49"/>
      <c r="V761" s="49"/>
      <c r="W761" s="49"/>
    </row>
    <row r="762" spans="1:23">
      <c r="A762" s="49"/>
      <c r="B762" s="49"/>
      <c r="C762" s="49"/>
      <c r="D762" s="49"/>
      <c r="E762" s="49"/>
      <c r="F762" s="49"/>
      <c r="G762" s="49"/>
      <c r="H762" s="49"/>
      <c r="I762" s="49"/>
      <c r="J762" s="49"/>
      <c r="K762" s="49"/>
      <c r="L762" s="49"/>
      <c r="M762" s="49"/>
      <c r="N762" s="49"/>
      <c r="O762" s="49"/>
      <c r="P762" s="49"/>
      <c r="Q762" s="49"/>
      <c r="R762" s="49"/>
      <c r="S762" s="49"/>
      <c r="T762" s="49"/>
      <c r="U762" s="49"/>
      <c r="V762" s="49"/>
      <c r="W762" s="49"/>
    </row>
    <row r="763" spans="1:23">
      <c r="A763" s="49"/>
      <c r="B763" s="49"/>
      <c r="C763" s="49"/>
      <c r="D763" s="49"/>
      <c r="E763" s="49"/>
      <c r="F763" s="49"/>
      <c r="G763" s="49"/>
      <c r="H763" s="49"/>
      <c r="I763" s="49"/>
      <c r="J763" s="49"/>
      <c r="K763" s="49"/>
      <c r="L763" s="49"/>
      <c r="M763" s="49"/>
      <c r="N763" s="49"/>
      <c r="O763" s="49"/>
      <c r="P763" s="49"/>
      <c r="Q763" s="49"/>
      <c r="R763" s="49"/>
      <c r="S763" s="49"/>
      <c r="T763" s="49"/>
      <c r="U763" s="49"/>
      <c r="V763" s="49"/>
      <c r="W763" s="49"/>
    </row>
    <row r="764" spans="1:23">
      <c r="A764" s="49"/>
      <c r="B764" s="49"/>
      <c r="C764" s="49"/>
      <c r="D764" s="49"/>
      <c r="E764" s="49"/>
      <c r="F764" s="49"/>
      <c r="G764" s="49"/>
      <c r="H764" s="49"/>
      <c r="I764" s="49"/>
      <c r="J764" s="49"/>
      <c r="K764" s="49"/>
      <c r="L764" s="49"/>
      <c r="M764" s="49"/>
      <c r="N764" s="49"/>
      <c r="O764" s="49"/>
      <c r="P764" s="49"/>
      <c r="Q764" s="49"/>
      <c r="R764" s="49"/>
      <c r="S764" s="49"/>
      <c r="T764" s="49"/>
      <c r="U764" s="49"/>
      <c r="V764" s="49"/>
      <c r="W764" s="49"/>
    </row>
    <row r="765" spans="1:23">
      <c r="A765" s="49"/>
      <c r="B765" s="49"/>
      <c r="C765" s="49"/>
      <c r="D765" s="49"/>
      <c r="E765" s="49"/>
      <c r="F765" s="49"/>
      <c r="G765" s="49"/>
      <c r="H765" s="49"/>
      <c r="I765" s="49"/>
      <c r="J765" s="49"/>
      <c r="K765" s="49"/>
      <c r="L765" s="49"/>
      <c r="M765" s="49"/>
      <c r="N765" s="49"/>
      <c r="O765" s="49"/>
      <c r="P765" s="49"/>
      <c r="Q765" s="49"/>
      <c r="R765" s="49"/>
      <c r="S765" s="49"/>
      <c r="T765" s="49"/>
      <c r="U765" s="49"/>
      <c r="V765" s="49"/>
      <c r="W765" s="49"/>
    </row>
    <row r="766" spans="1:23">
      <c r="A766" s="49"/>
      <c r="B766" s="49"/>
      <c r="C766" s="49"/>
      <c r="D766" s="49"/>
      <c r="E766" s="49"/>
      <c r="F766" s="49"/>
      <c r="G766" s="49"/>
      <c r="H766" s="49"/>
      <c r="I766" s="49"/>
      <c r="J766" s="49"/>
      <c r="K766" s="49"/>
      <c r="L766" s="49"/>
      <c r="M766" s="49"/>
      <c r="N766" s="49"/>
      <c r="O766" s="49"/>
      <c r="P766" s="49"/>
      <c r="Q766" s="49"/>
      <c r="R766" s="49"/>
      <c r="S766" s="49"/>
      <c r="T766" s="49"/>
      <c r="U766" s="49"/>
      <c r="V766" s="49"/>
      <c r="W766" s="49"/>
    </row>
    <row r="767" spans="1:23">
      <c r="A767" s="49"/>
      <c r="B767" s="49"/>
      <c r="C767" s="49"/>
      <c r="D767" s="49"/>
      <c r="E767" s="49"/>
      <c r="F767" s="49"/>
      <c r="G767" s="49"/>
      <c r="H767" s="49"/>
      <c r="I767" s="49"/>
      <c r="J767" s="49"/>
      <c r="K767" s="49"/>
      <c r="L767" s="49"/>
      <c r="M767" s="49"/>
      <c r="N767" s="49"/>
      <c r="O767" s="49"/>
      <c r="P767" s="49"/>
      <c r="Q767" s="49"/>
      <c r="R767" s="49"/>
      <c r="S767" s="49"/>
      <c r="T767" s="49"/>
      <c r="U767" s="49"/>
      <c r="V767" s="49"/>
      <c r="W767" s="49"/>
    </row>
    <row r="768" spans="1:23">
      <c r="A768" s="49"/>
      <c r="B768" s="49"/>
      <c r="C768" s="49"/>
      <c r="D768" s="49"/>
      <c r="E768" s="49"/>
      <c r="F768" s="49"/>
      <c r="G768" s="49"/>
      <c r="H768" s="49"/>
      <c r="I768" s="49"/>
      <c r="J768" s="49"/>
      <c r="K768" s="49"/>
      <c r="L768" s="49"/>
      <c r="M768" s="49"/>
      <c r="N768" s="49"/>
      <c r="O768" s="49"/>
      <c r="P768" s="49"/>
      <c r="Q768" s="49"/>
      <c r="R768" s="49"/>
      <c r="S768" s="49"/>
      <c r="T768" s="49"/>
      <c r="U768" s="49"/>
      <c r="V768" s="49"/>
      <c r="W768" s="49"/>
    </row>
    <row r="769" spans="1:23">
      <c r="A769" s="49"/>
      <c r="B769" s="49"/>
      <c r="C769" s="49"/>
      <c r="D769" s="49"/>
      <c r="E769" s="49"/>
      <c r="F769" s="49"/>
      <c r="G769" s="49"/>
      <c r="H769" s="49"/>
      <c r="I769" s="49"/>
      <c r="J769" s="49"/>
      <c r="K769" s="49"/>
      <c r="L769" s="49"/>
      <c r="M769" s="49"/>
      <c r="N769" s="49"/>
      <c r="O769" s="49"/>
      <c r="P769" s="49"/>
      <c r="Q769" s="49"/>
      <c r="R769" s="49"/>
      <c r="S769" s="49"/>
      <c r="T769" s="49"/>
      <c r="U769" s="49"/>
      <c r="V769" s="49"/>
      <c r="W769" s="49"/>
    </row>
    <row r="770" spans="1:23">
      <c r="A770" s="49"/>
      <c r="B770" s="49"/>
      <c r="C770" s="49"/>
      <c r="D770" s="49"/>
      <c r="E770" s="49"/>
      <c r="F770" s="49"/>
      <c r="G770" s="49"/>
      <c r="H770" s="49"/>
      <c r="I770" s="49"/>
      <c r="J770" s="49"/>
      <c r="K770" s="49"/>
      <c r="L770" s="49"/>
      <c r="M770" s="49"/>
      <c r="N770" s="49"/>
      <c r="O770" s="49"/>
      <c r="P770" s="49"/>
      <c r="Q770" s="49"/>
      <c r="R770" s="49"/>
      <c r="S770" s="49"/>
      <c r="T770" s="49"/>
      <c r="U770" s="49"/>
      <c r="V770" s="49"/>
      <c r="W770" s="49"/>
    </row>
    <row r="771" spans="1:23">
      <c r="A771" s="49"/>
      <c r="B771" s="49"/>
      <c r="C771" s="49"/>
      <c r="D771" s="49"/>
      <c r="E771" s="49"/>
      <c r="F771" s="49"/>
      <c r="G771" s="49"/>
      <c r="H771" s="49"/>
      <c r="I771" s="49"/>
      <c r="J771" s="49"/>
      <c r="K771" s="49"/>
      <c r="L771" s="49"/>
      <c r="M771" s="49"/>
      <c r="N771" s="49"/>
      <c r="O771" s="49"/>
      <c r="P771" s="49"/>
      <c r="Q771" s="49"/>
      <c r="R771" s="49"/>
      <c r="S771" s="49"/>
      <c r="T771" s="49"/>
      <c r="U771" s="49"/>
      <c r="V771" s="49"/>
      <c r="W771" s="49"/>
    </row>
    <row r="772" spans="1:23">
      <c r="A772" s="49"/>
      <c r="B772" s="49"/>
      <c r="C772" s="49"/>
      <c r="D772" s="49"/>
      <c r="E772" s="49"/>
      <c r="F772" s="49"/>
      <c r="G772" s="49"/>
      <c r="H772" s="49"/>
      <c r="I772" s="49"/>
      <c r="J772" s="49"/>
      <c r="K772" s="49"/>
      <c r="L772" s="49"/>
      <c r="M772" s="49"/>
      <c r="N772" s="49"/>
      <c r="O772" s="49"/>
      <c r="P772" s="49"/>
      <c r="Q772" s="49"/>
      <c r="R772" s="49"/>
      <c r="S772" s="49"/>
      <c r="T772" s="49"/>
      <c r="U772" s="49"/>
      <c r="V772" s="49"/>
      <c r="W772" s="49"/>
    </row>
    <row r="773" spans="1:23">
      <c r="A773" s="49"/>
      <c r="B773" s="49"/>
      <c r="C773" s="49"/>
      <c r="D773" s="49"/>
      <c r="E773" s="49"/>
      <c r="F773" s="49"/>
      <c r="G773" s="49"/>
      <c r="H773" s="49"/>
      <c r="I773" s="49"/>
      <c r="J773" s="49"/>
      <c r="K773" s="49"/>
      <c r="L773" s="49"/>
      <c r="M773" s="49"/>
      <c r="N773" s="49"/>
      <c r="O773" s="49"/>
      <c r="P773" s="49"/>
      <c r="Q773" s="49"/>
      <c r="R773" s="49"/>
      <c r="S773" s="49"/>
      <c r="T773" s="49"/>
      <c r="U773" s="49"/>
      <c r="V773" s="49"/>
      <c r="W773" s="49"/>
    </row>
    <row r="774" spans="1:23">
      <c r="A774" s="49"/>
      <c r="B774" s="49"/>
      <c r="C774" s="49"/>
      <c r="D774" s="49"/>
      <c r="E774" s="49"/>
      <c r="F774" s="49"/>
      <c r="G774" s="49"/>
      <c r="H774" s="49"/>
      <c r="I774" s="49"/>
      <c r="J774" s="49"/>
      <c r="K774" s="49"/>
      <c r="L774" s="49"/>
      <c r="M774" s="49"/>
      <c r="N774" s="49"/>
      <c r="O774" s="49"/>
      <c r="P774" s="49"/>
      <c r="Q774" s="49"/>
      <c r="R774" s="49"/>
      <c r="S774" s="49"/>
      <c r="T774" s="49"/>
      <c r="U774" s="49"/>
      <c r="V774" s="49"/>
      <c r="W774" s="49"/>
    </row>
    <row r="775" spans="1:23">
      <c r="A775" s="49"/>
      <c r="B775" s="49"/>
      <c r="C775" s="49"/>
      <c r="D775" s="49"/>
      <c r="E775" s="49"/>
      <c r="F775" s="49"/>
      <c r="G775" s="49"/>
      <c r="H775" s="49"/>
      <c r="I775" s="49"/>
      <c r="J775" s="49"/>
      <c r="K775" s="49"/>
      <c r="L775" s="49"/>
      <c r="M775" s="49"/>
      <c r="N775" s="49"/>
      <c r="O775" s="49"/>
      <c r="P775" s="49"/>
      <c r="Q775" s="49"/>
      <c r="R775" s="49"/>
      <c r="S775" s="49"/>
      <c r="T775" s="49"/>
      <c r="U775" s="49"/>
      <c r="V775" s="49"/>
      <c r="W775" s="49"/>
    </row>
    <row r="776" spans="1:23">
      <c r="A776" s="49"/>
      <c r="B776" s="49"/>
      <c r="C776" s="49"/>
      <c r="D776" s="49"/>
      <c r="E776" s="49"/>
      <c r="F776" s="49"/>
      <c r="G776" s="49"/>
      <c r="H776" s="49"/>
      <c r="I776" s="49"/>
      <c r="J776" s="49"/>
      <c r="K776" s="49"/>
      <c r="L776" s="49"/>
      <c r="M776" s="49"/>
      <c r="N776" s="49"/>
      <c r="O776" s="49"/>
      <c r="P776" s="49"/>
      <c r="Q776" s="49"/>
      <c r="R776" s="49"/>
      <c r="S776" s="49"/>
      <c r="T776" s="49"/>
      <c r="U776" s="49"/>
      <c r="V776" s="49"/>
      <c r="W776" s="49"/>
    </row>
    <row r="777" spans="1:23">
      <c r="A777" s="49"/>
      <c r="B777" s="49"/>
      <c r="C777" s="49"/>
      <c r="D777" s="49"/>
      <c r="E777" s="49"/>
      <c r="F777" s="49"/>
      <c r="G777" s="49"/>
      <c r="H777" s="49"/>
      <c r="I777" s="49"/>
      <c r="J777" s="49"/>
      <c r="K777" s="49"/>
      <c r="L777" s="49"/>
      <c r="M777" s="49"/>
      <c r="N777" s="49"/>
      <c r="O777" s="49"/>
      <c r="P777" s="49"/>
      <c r="Q777" s="49"/>
      <c r="R777" s="49"/>
      <c r="S777" s="49"/>
      <c r="T777" s="49"/>
      <c r="U777" s="49"/>
      <c r="V777" s="49"/>
      <c r="W777" s="49"/>
    </row>
    <row r="778" spans="1:23">
      <c r="A778" s="49"/>
      <c r="B778" s="49"/>
      <c r="C778" s="49"/>
      <c r="D778" s="49"/>
      <c r="E778" s="49"/>
      <c r="F778" s="49"/>
      <c r="G778" s="49"/>
      <c r="H778" s="49"/>
      <c r="I778" s="49"/>
      <c r="J778" s="49"/>
      <c r="K778" s="49"/>
      <c r="L778" s="49"/>
      <c r="M778" s="49"/>
      <c r="N778" s="49"/>
      <c r="O778" s="49"/>
      <c r="P778" s="49"/>
      <c r="Q778" s="49"/>
      <c r="R778" s="49"/>
      <c r="S778" s="49"/>
      <c r="T778" s="49"/>
      <c r="U778" s="49"/>
      <c r="V778" s="49"/>
      <c r="W778" s="49"/>
    </row>
    <row r="779" spans="1:23">
      <c r="A779" s="49"/>
      <c r="B779" s="49"/>
      <c r="C779" s="49"/>
      <c r="D779" s="49"/>
      <c r="E779" s="49"/>
      <c r="F779" s="49"/>
      <c r="G779" s="49"/>
      <c r="H779" s="49"/>
      <c r="I779" s="49"/>
      <c r="J779" s="49"/>
      <c r="K779" s="49"/>
      <c r="L779" s="49"/>
      <c r="M779" s="49"/>
      <c r="N779" s="49"/>
      <c r="O779" s="49"/>
      <c r="P779" s="49"/>
      <c r="Q779" s="49"/>
      <c r="R779" s="49"/>
      <c r="S779" s="49"/>
      <c r="T779" s="49"/>
      <c r="U779" s="49"/>
      <c r="V779" s="49"/>
      <c r="W779" s="49"/>
    </row>
    <row r="780" spans="1:23">
      <c r="A780" s="49"/>
      <c r="B780" s="49"/>
      <c r="C780" s="49"/>
      <c r="D780" s="49"/>
      <c r="E780" s="49"/>
      <c r="F780" s="49"/>
      <c r="G780" s="49"/>
      <c r="H780" s="49"/>
      <c r="I780" s="49"/>
      <c r="J780" s="49"/>
      <c r="K780" s="49"/>
      <c r="L780" s="49"/>
      <c r="M780" s="49"/>
      <c r="N780" s="49"/>
      <c r="O780" s="49"/>
      <c r="P780" s="49"/>
      <c r="Q780" s="49"/>
      <c r="R780" s="49"/>
      <c r="S780" s="49"/>
      <c r="T780" s="49"/>
      <c r="U780" s="49"/>
      <c r="V780" s="49"/>
      <c r="W780" s="49"/>
    </row>
    <row r="781" spans="1:23">
      <c r="A781" s="49"/>
      <c r="B781" s="49"/>
      <c r="C781" s="49"/>
      <c r="D781" s="49"/>
      <c r="E781" s="49"/>
      <c r="F781" s="49"/>
      <c r="G781" s="49"/>
      <c r="H781" s="49"/>
      <c r="I781" s="49"/>
      <c r="J781" s="49"/>
      <c r="K781" s="49"/>
      <c r="L781" s="49"/>
      <c r="M781" s="49"/>
      <c r="N781" s="49"/>
      <c r="O781" s="49"/>
      <c r="P781" s="49"/>
      <c r="Q781" s="49"/>
      <c r="R781" s="49"/>
      <c r="S781" s="49"/>
      <c r="T781" s="49"/>
      <c r="U781" s="49"/>
      <c r="V781" s="49"/>
      <c r="W781" s="49"/>
    </row>
    <row r="782" spans="1:23">
      <c r="A782" s="49"/>
      <c r="B782" s="49"/>
      <c r="C782" s="49"/>
      <c r="D782" s="49"/>
      <c r="E782" s="49"/>
      <c r="F782" s="49"/>
      <c r="G782" s="49"/>
      <c r="H782" s="49"/>
      <c r="I782" s="49"/>
      <c r="J782" s="49"/>
      <c r="K782" s="49"/>
      <c r="L782" s="49"/>
      <c r="M782" s="49"/>
      <c r="N782" s="49"/>
      <c r="O782" s="49"/>
      <c r="P782" s="49"/>
      <c r="Q782" s="49"/>
      <c r="R782" s="49"/>
      <c r="S782" s="49"/>
      <c r="T782" s="49"/>
      <c r="U782" s="49"/>
      <c r="V782" s="49"/>
      <c r="W782" s="49"/>
    </row>
    <row r="783" spans="1:23">
      <c r="A783" s="49"/>
      <c r="B783" s="49"/>
      <c r="C783" s="49"/>
      <c r="D783" s="49"/>
      <c r="E783" s="49"/>
      <c r="F783" s="49"/>
      <c r="G783" s="49"/>
      <c r="H783" s="49"/>
      <c r="I783" s="49"/>
      <c r="J783" s="49"/>
      <c r="K783" s="49"/>
      <c r="L783" s="49"/>
      <c r="M783" s="49"/>
      <c r="N783" s="49"/>
      <c r="O783" s="49"/>
      <c r="P783" s="49"/>
      <c r="Q783" s="49"/>
      <c r="R783" s="49"/>
      <c r="S783" s="49"/>
      <c r="T783" s="49"/>
      <c r="U783" s="49"/>
      <c r="V783" s="49"/>
      <c r="W783" s="49"/>
    </row>
    <row r="784" spans="1:23">
      <c r="A784" s="49"/>
      <c r="B784" s="49"/>
      <c r="C784" s="49"/>
      <c r="D784" s="49"/>
      <c r="E784" s="49"/>
      <c r="F784" s="49"/>
      <c r="G784" s="49"/>
      <c r="H784" s="49"/>
      <c r="I784" s="49"/>
      <c r="J784" s="49"/>
      <c r="K784" s="49"/>
      <c r="L784" s="49"/>
      <c r="M784" s="49"/>
      <c r="N784" s="49"/>
      <c r="O784" s="49"/>
      <c r="P784" s="49"/>
      <c r="Q784" s="49"/>
      <c r="R784" s="49"/>
      <c r="S784" s="49"/>
      <c r="T784" s="49"/>
      <c r="U784" s="49"/>
      <c r="V784" s="49"/>
      <c r="W784" s="49"/>
    </row>
    <row r="785" spans="1:23">
      <c r="A785" s="49"/>
      <c r="B785" s="49"/>
      <c r="C785" s="49"/>
      <c r="D785" s="49"/>
      <c r="E785" s="49"/>
      <c r="F785" s="49"/>
      <c r="G785" s="49"/>
      <c r="H785" s="49"/>
      <c r="I785" s="49"/>
      <c r="J785" s="49"/>
      <c r="K785" s="49"/>
      <c r="L785" s="49"/>
      <c r="M785" s="49"/>
      <c r="N785" s="49"/>
      <c r="O785" s="49"/>
      <c r="P785" s="49"/>
      <c r="Q785" s="49"/>
      <c r="R785" s="49"/>
      <c r="S785" s="49"/>
      <c r="T785" s="49"/>
      <c r="U785" s="49"/>
      <c r="V785" s="49"/>
      <c r="W785" s="49"/>
    </row>
    <row r="786" spans="1:23">
      <c r="A786" s="49"/>
      <c r="B786" s="49"/>
      <c r="C786" s="49"/>
      <c r="D786" s="49"/>
      <c r="E786" s="49"/>
      <c r="F786" s="49"/>
      <c r="G786" s="49"/>
      <c r="H786" s="49"/>
      <c r="I786" s="49"/>
      <c r="J786" s="49"/>
      <c r="K786" s="49"/>
      <c r="L786" s="49"/>
      <c r="M786" s="49"/>
      <c r="N786" s="49"/>
      <c r="O786" s="49"/>
      <c r="P786" s="49"/>
      <c r="Q786" s="49"/>
      <c r="R786" s="49"/>
      <c r="S786" s="49"/>
      <c r="T786" s="49"/>
      <c r="U786" s="49"/>
      <c r="V786" s="49"/>
      <c r="W786" s="49"/>
    </row>
    <row r="787" spans="1:23">
      <c r="A787" s="49"/>
      <c r="B787" s="49"/>
      <c r="C787" s="49"/>
      <c r="D787" s="49"/>
      <c r="E787" s="49"/>
      <c r="F787" s="49"/>
      <c r="G787" s="49"/>
      <c r="H787" s="49"/>
      <c r="I787" s="49"/>
      <c r="J787" s="49"/>
      <c r="K787" s="49"/>
      <c r="L787" s="49"/>
      <c r="M787" s="49"/>
      <c r="N787" s="49"/>
      <c r="O787" s="49"/>
      <c r="P787" s="49"/>
      <c r="Q787" s="49"/>
      <c r="R787" s="49"/>
      <c r="S787" s="49"/>
      <c r="T787" s="49"/>
      <c r="U787" s="49"/>
      <c r="V787" s="49"/>
      <c r="W787" s="49"/>
    </row>
    <row r="788" spans="1:23">
      <c r="A788" s="49"/>
      <c r="B788" s="49"/>
      <c r="C788" s="49"/>
      <c r="D788" s="49"/>
      <c r="E788" s="49"/>
      <c r="F788" s="49"/>
      <c r="G788" s="49"/>
      <c r="H788" s="49"/>
      <c r="I788" s="49"/>
      <c r="J788" s="49"/>
      <c r="K788" s="49"/>
      <c r="L788" s="49"/>
      <c r="M788" s="49"/>
      <c r="N788" s="49"/>
      <c r="O788" s="49"/>
      <c r="P788" s="49"/>
      <c r="Q788" s="49"/>
      <c r="R788" s="49"/>
      <c r="S788" s="49"/>
      <c r="T788" s="49"/>
      <c r="U788" s="49"/>
      <c r="V788" s="49"/>
      <c r="W788" s="49"/>
    </row>
    <row r="789" spans="1:23">
      <c r="A789" s="49"/>
      <c r="B789" s="49"/>
      <c r="C789" s="49"/>
      <c r="D789" s="49"/>
      <c r="E789" s="49"/>
      <c r="F789" s="49"/>
      <c r="G789" s="49"/>
      <c r="H789" s="49"/>
      <c r="I789" s="49"/>
      <c r="J789" s="49"/>
      <c r="K789" s="49"/>
      <c r="L789" s="49"/>
      <c r="M789" s="49"/>
      <c r="N789" s="49"/>
      <c r="O789" s="49"/>
      <c r="P789" s="49"/>
      <c r="Q789" s="49"/>
      <c r="R789" s="49"/>
      <c r="S789" s="49"/>
      <c r="T789" s="49"/>
      <c r="U789" s="49"/>
      <c r="V789" s="49"/>
      <c r="W789" s="49"/>
    </row>
    <row r="790" spans="1:23">
      <c r="A790" s="49"/>
      <c r="B790" s="49"/>
      <c r="C790" s="49"/>
      <c r="D790" s="49"/>
      <c r="E790" s="49"/>
      <c r="F790" s="49"/>
      <c r="G790" s="49"/>
      <c r="H790" s="49"/>
      <c r="I790" s="49"/>
      <c r="J790" s="49"/>
      <c r="K790" s="49"/>
      <c r="L790" s="49"/>
      <c r="M790" s="49"/>
      <c r="N790" s="49"/>
      <c r="O790" s="49"/>
      <c r="P790" s="49"/>
      <c r="Q790" s="49"/>
      <c r="R790" s="49"/>
      <c r="S790" s="49"/>
      <c r="T790" s="49"/>
      <c r="U790" s="49"/>
      <c r="V790" s="49"/>
      <c r="W790" s="49"/>
    </row>
    <row r="791" spans="1:23">
      <c r="A791" s="49"/>
      <c r="B791" s="49"/>
      <c r="C791" s="49"/>
      <c r="D791" s="49"/>
      <c r="E791" s="49"/>
      <c r="F791" s="49"/>
      <c r="G791" s="49"/>
      <c r="H791" s="49"/>
      <c r="I791" s="49"/>
      <c r="J791" s="49"/>
      <c r="K791" s="49"/>
      <c r="L791" s="49"/>
      <c r="M791" s="49"/>
      <c r="N791" s="49"/>
      <c r="O791" s="49"/>
      <c r="P791" s="49"/>
      <c r="Q791" s="49"/>
      <c r="R791" s="49"/>
      <c r="S791" s="49"/>
      <c r="T791" s="49"/>
      <c r="U791" s="49"/>
      <c r="V791" s="49"/>
      <c r="W791" s="49"/>
    </row>
    <row r="792" spans="1:23">
      <c r="A792" s="49"/>
      <c r="B792" s="49"/>
      <c r="C792" s="49"/>
      <c r="D792" s="49"/>
      <c r="E792" s="49"/>
      <c r="F792" s="49"/>
      <c r="G792" s="49"/>
      <c r="H792" s="49"/>
      <c r="I792" s="49"/>
      <c r="J792" s="49"/>
      <c r="K792" s="49"/>
      <c r="L792" s="49"/>
      <c r="M792" s="49"/>
      <c r="N792" s="49"/>
      <c r="O792" s="49"/>
      <c r="P792" s="49"/>
      <c r="Q792" s="49"/>
      <c r="R792" s="49"/>
      <c r="S792" s="49"/>
      <c r="T792" s="49"/>
      <c r="U792" s="49"/>
      <c r="V792" s="49"/>
      <c r="W792" s="49"/>
    </row>
    <row r="793" spans="1:23">
      <c r="A793" s="49"/>
      <c r="B793" s="49"/>
      <c r="C793" s="49"/>
      <c r="D793" s="49"/>
      <c r="E793" s="49"/>
      <c r="F793" s="49"/>
      <c r="G793" s="49"/>
      <c r="H793" s="49"/>
      <c r="I793" s="49"/>
      <c r="J793" s="49"/>
      <c r="K793" s="49"/>
      <c r="L793" s="49"/>
      <c r="M793" s="49"/>
      <c r="N793" s="49"/>
      <c r="O793" s="49"/>
      <c r="P793" s="49"/>
      <c r="Q793" s="49"/>
      <c r="R793" s="49"/>
      <c r="S793" s="49"/>
      <c r="T793" s="49"/>
      <c r="U793" s="49"/>
      <c r="V793" s="49"/>
      <c r="W793" s="49"/>
    </row>
    <row r="794" spans="1:23">
      <c r="A794" s="49"/>
      <c r="B794" s="49"/>
      <c r="C794" s="49"/>
      <c r="D794" s="49"/>
      <c r="E794" s="49"/>
      <c r="F794" s="49"/>
      <c r="G794" s="49"/>
      <c r="H794" s="49"/>
      <c r="I794" s="49"/>
      <c r="J794" s="49"/>
      <c r="K794" s="49"/>
      <c r="L794" s="49"/>
      <c r="M794" s="49"/>
      <c r="N794" s="49"/>
      <c r="O794" s="49"/>
      <c r="P794" s="49"/>
      <c r="Q794" s="49"/>
      <c r="R794" s="49"/>
      <c r="S794" s="49"/>
      <c r="T794" s="49"/>
      <c r="U794" s="49"/>
      <c r="V794" s="49"/>
      <c r="W794" s="49"/>
    </row>
    <row r="795" spans="1:23">
      <c r="A795" s="49"/>
      <c r="B795" s="49"/>
      <c r="C795" s="49"/>
      <c r="D795" s="49"/>
      <c r="E795" s="49"/>
      <c r="F795" s="49"/>
      <c r="G795" s="49"/>
      <c r="H795" s="49"/>
      <c r="I795" s="49"/>
      <c r="J795" s="49"/>
      <c r="K795" s="49"/>
      <c r="L795" s="49"/>
      <c r="M795" s="49"/>
      <c r="N795" s="49"/>
      <c r="O795" s="49"/>
      <c r="P795" s="49"/>
      <c r="Q795" s="49"/>
      <c r="R795" s="49"/>
      <c r="S795" s="49"/>
      <c r="T795" s="49"/>
      <c r="U795" s="49"/>
      <c r="V795" s="49"/>
      <c r="W795" s="49"/>
    </row>
    <row r="796" spans="1:23">
      <c r="A796" s="49"/>
      <c r="B796" s="49"/>
      <c r="C796" s="49"/>
      <c r="D796" s="49"/>
      <c r="E796" s="49"/>
      <c r="F796" s="49"/>
      <c r="G796" s="49"/>
      <c r="H796" s="49"/>
      <c r="I796" s="49"/>
      <c r="J796" s="49"/>
      <c r="K796" s="49"/>
      <c r="L796" s="49"/>
      <c r="M796" s="49"/>
      <c r="N796" s="49"/>
      <c r="O796" s="49"/>
      <c r="P796" s="49"/>
      <c r="Q796" s="49"/>
      <c r="R796" s="49"/>
      <c r="S796" s="49"/>
      <c r="T796" s="49"/>
      <c r="U796" s="49"/>
      <c r="V796" s="49"/>
      <c r="W796" s="49"/>
    </row>
    <row r="797" spans="1:23">
      <c r="A797" s="49"/>
      <c r="B797" s="49"/>
      <c r="C797" s="49"/>
      <c r="D797" s="49"/>
      <c r="E797" s="49"/>
      <c r="F797" s="49"/>
      <c r="G797" s="49"/>
      <c r="H797" s="49"/>
      <c r="I797" s="49"/>
      <c r="J797" s="49"/>
      <c r="K797" s="49"/>
      <c r="L797" s="49"/>
      <c r="M797" s="49"/>
      <c r="N797" s="49"/>
      <c r="O797" s="49"/>
      <c r="P797" s="49"/>
      <c r="Q797" s="49"/>
      <c r="R797" s="49"/>
      <c r="S797" s="49"/>
      <c r="T797" s="49"/>
      <c r="U797" s="49"/>
      <c r="V797" s="49"/>
      <c r="W797" s="49"/>
    </row>
    <row r="798" spans="1:23">
      <c r="A798" s="49"/>
      <c r="B798" s="49"/>
      <c r="C798" s="49"/>
      <c r="D798" s="49"/>
      <c r="E798" s="49"/>
      <c r="F798" s="49"/>
      <c r="G798" s="49"/>
      <c r="H798" s="49"/>
      <c r="I798" s="49"/>
      <c r="J798" s="49"/>
      <c r="K798" s="49"/>
      <c r="L798" s="49"/>
      <c r="M798" s="49"/>
      <c r="N798" s="49"/>
      <c r="O798" s="49"/>
      <c r="P798" s="49"/>
      <c r="Q798" s="49"/>
      <c r="R798" s="49"/>
      <c r="S798" s="49"/>
      <c r="T798" s="49"/>
      <c r="U798" s="49"/>
      <c r="V798" s="49"/>
      <c r="W798" s="49"/>
    </row>
    <row r="799" spans="1:23">
      <c r="A799" s="49"/>
      <c r="B799" s="49"/>
      <c r="C799" s="49"/>
      <c r="D799" s="49"/>
      <c r="E799" s="49"/>
      <c r="F799" s="49"/>
      <c r="G799" s="49"/>
      <c r="H799" s="49"/>
      <c r="I799" s="49"/>
      <c r="J799" s="49"/>
      <c r="K799" s="49"/>
      <c r="L799" s="49"/>
      <c r="M799" s="49"/>
      <c r="N799" s="49"/>
      <c r="O799" s="49"/>
      <c r="P799" s="49"/>
      <c r="Q799" s="49"/>
      <c r="R799" s="49"/>
      <c r="S799" s="49"/>
      <c r="T799" s="49"/>
      <c r="U799" s="49"/>
      <c r="V799" s="49"/>
      <c r="W799" s="49"/>
    </row>
    <row r="800" spans="1:23">
      <c r="A800" s="49"/>
      <c r="B800" s="49"/>
      <c r="C800" s="49"/>
      <c r="D800" s="49"/>
      <c r="E800" s="49"/>
      <c r="F800" s="49"/>
      <c r="G800" s="49"/>
      <c r="H800" s="49"/>
      <c r="I800" s="49"/>
      <c r="J800" s="49"/>
      <c r="K800" s="49"/>
      <c r="L800" s="49"/>
      <c r="M800" s="49"/>
      <c r="N800" s="49"/>
      <c r="O800" s="49"/>
      <c r="P800" s="49"/>
      <c r="Q800" s="49"/>
      <c r="R800" s="49"/>
      <c r="S800" s="49"/>
      <c r="T800" s="49"/>
      <c r="U800" s="49"/>
      <c r="V800" s="49"/>
      <c r="W800" s="49"/>
    </row>
    <row r="801" spans="1:23">
      <c r="A801" s="49"/>
      <c r="B801" s="49"/>
      <c r="C801" s="49"/>
      <c r="D801" s="49"/>
      <c r="E801" s="49"/>
      <c r="F801" s="49"/>
      <c r="G801" s="49"/>
      <c r="H801" s="49"/>
      <c r="I801" s="49"/>
      <c r="J801" s="49"/>
      <c r="K801" s="49"/>
      <c r="L801" s="49"/>
      <c r="M801" s="49"/>
      <c r="N801" s="49"/>
      <c r="O801" s="49"/>
      <c r="P801" s="49"/>
      <c r="Q801" s="49"/>
      <c r="R801" s="49"/>
      <c r="S801" s="49"/>
      <c r="T801" s="49"/>
      <c r="U801" s="49"/>
      <c r="V801" s="49"/>
      <c r="W801" s="49"/>
    </row>
    <row r="802" spans="1:23">
      <c r="A802" s="49"/>
      <c r="B802" s="49"/>
      <c r="C802" s="49"/>
      <c r="D802" s="49"/>
      <c r="E802" s="49"/>
      <c r="F802" s="49"/>
      <c r="G802" s="49"/>
      <c r="H802" s="49"/>
      <c r="I802" s="49"/>
      <c r="J802" s="49"/>
      <c r="K802" s="49"/>
      <c r="L802" s="49"/>
      <c r="M802" s="49"/>
      <c r="N802" s="49"/>
      <c r="O802" s="49"/>
      <c r="P802" s="49"/>
      <c r="Q802" s="49"/>
      <c r="R802" s="49"/>
      <c r="S802" s="49"/>
      <c r="T802" s="49"/>
      <c r="U802" s="49"/>
      <c r="V802" s="49"/>
      <c r="W802" s="49"/>
    </row>
    <row r="803" spans="1:23">
      <c r="A803" s="49"/>
      <c r="B803" s="49"/>
      <c r="C803" s="49"/>
      <c r="D803" s="49"/>
      <c r="E803" s="49"/>
      <c r="F803" s="49"/>
      <c r="G803" s="49"/>
      <c r="H803" s="49"/>
      <c r="I803" s="49"/>
      <c r="J803" s="49"/>
      <c r="K803" s="49"/>
      <c r="L803" s="49"/>
      <c r="M803" s="49"/>
      <c r="N803" s="49"/>
      <c r="O803" s="49"/>
      <c r="P803" s="49"/>
      <c r="Q803" s="49"/>
      <c r="R803" s="49"/>
      <c r="S803" s="49"/>
      <c r="T803" s="49"/>
      <c r="U803" s="49"/>
      <c r="V803" s="49"/>
      <c r="W803" s="49"/>
    </row>
    <row r="804" spans="1:23">
      <c r="A804" s="49"/>
      <c r="B804" s="49"/>
      <c r="C804" s="49"/>
      <c r="D804" s="49"/>
      <c r="E804" s="49"/>
      <c r="F804" s="49"/>
      <c r="G804" s="49"/>
      <c r="H804" s="49"/>
      <c r="I804" s="49"/>
      <c r="J804" s="49"/>
      <c r="K804" s="49"/>
      <c r="L804" s="49"/>
      <c r="M804" s="49"/>
      <c r="N804" s="49"/>
      <c r="O804" s="49"/>
      <c r="P804" s="49"/>
      <c r="Q804" s="49"/>
      <c r="R804" s="49"/>
      <c r="S804" s="49"/>
      <c r="T804" s="49"/>
      <c r="U804" s="49"/>
      <c r="V804" s="49"/>
      <c r="W804" s="49"/>
    </row>
    <row r="805" spans="1:23">
      <c r="A805" s="49"/>
      <c r="B805" s="49"/>
      <c r="C805" s="49"/>
      <c r="D805" s="49"/>
      <c r="E805" s="49"/>
      <c r="F805" s="49"/>
      <c r="G805" s="49"/>
      <c r="H805" s="49"/>
      <c r="I805" s="49"/>
      <c r="J805" s="49"/>
      <c r="K805" s="49"/>
      <c r="L805" s="49"/>
      <c r="M805" s="49"/>
      <c r="N805" s="49"/>
      <c r="O805" s="49"/>
      <c r="P805" s="49"/>
      <c r="Q805" s="49"/>
      <c r="R805" s="49"/>
      <c r="S805" s="49"/>
      <c r="T805" s="49"/>
      <c r="U805" s="49"/>
      <c r="V805" s="49"/>
      <c r="W805" s="49"/>
    </row>
    <row r="806" spans="1:23">
      <c r="A806" s="49"/>
      <c r="B806" s="49"/>
      <c r="C806" s="49"/>
      <c r="D806" s="49"/>
      <c r="E806" s="49"/>
      <c r="F806" s="49"/>
      <c r="G806" s="49"/>
      <c r="H806" s="49"/>
      <c r="I806" s="49"/>
      <c r="J806" s="49"/>
      <c r="K806" s="49"/>
      <c r="L806" s="49"/>
      <c r="M806" s="49"/>
      <c r="N806" s="49"/>
      <c r="O806" s="49"/>
      <c r="P806" s="49"/>
      <c r="Q806" s="49"/>
      <c r="R806" s="49"/>
      <c r="S806" s="49"/>
      <c r="T806" s="49"/>
      <c r="U806" s="49"/>
      <c r="V806" s="49"/>
      <c r="W806" s="49"/>
    </row>
    <row r="807" spans="1:23">
      <c r="A807" s="49"/>
      <c r="B807" s="49"/>
      <c r="C807" s="49"/>
      <c r="D807" s="49"/>
      <c r="E807" s="49"/>
      <c r="F807" s="49"/>
      <c r="G807" s="49"/>
      <c r="H807" s="49"/>
      <c r="I807" s="49"/>
      <c r="J807" s="49"/>
      <c r="K807" s="49"/>
      <c r="L807" s="49"/>
      <c r="M807" s="49"/>
      <c r="N807" s="49"/>
      <c r="O807" s="49"/>
      <c r="P807" s="49"/>
      <c r="Q807" s="49"/>
      <c r="R807" s="49"/>
      <c r="S807" s="49"/>
      <c r="T807" s="49"/>
      <c r="U807" s="49"/>
      <c r="V807" s="49"/>
      <c r="W807" s="49"/>
    </row>
    <row r="808" spans="1:23">
      <c r="A808" s="49"/>
      <c r="B808" s="49"/>
      <c r="C808" s="49"/>
      <c r="D808" s="49"/>
      <c r="E808" s="49"/>
      <c r="F808" s="49"/>
      <c r="G808" s="49"/>
      <c r="H808" s="49"/>
      <c r="I808" s="49"/>
      <c r="J808" s="49"/>
      <c r="K808" s="49"/>
      <c r="L808" s="49"/>
      <c r="M808" s="49"/>
      <c r="N808" s="49"/>
      <c r="O808" s="49"/>
      <c r="P808" s="49"/>
      <c r="Q808" s="49"/>
      <c r="R808" s="49"/>
      <c r="S808" s="49"/>
      <c r="T808" s="49"/>
      <c r="U808" s="49"/>
      <c r="V808" s="49"/>
      <c r="W808" s="49"/>
    </row>
    <row r="809" spans="1:23">
      <c r="A809" s="49"/>
      <c r="B809" s="49"/>
      <c r="C809" s="49"/>
      <c r="D809" s="49"/>
      <c r="E809" s="49"/>
      <c r="F809" s="49"/>
      <c r="G809" s="49"/>
      <c r="H809" s="49"/>
      <c r="I809" s="49"/>
      <c r="J809" s="49"/>
      <c r="K809" s="49"/>
      <c r="L809" s="49"/>
      <c r="M809" s="49"/>
      <c r="N809" s="49"/>
      <c r="O809" s="49"/>
      <c r="P809" s="49"/>
      <c r="Q809" s="49"/>
      <c r="R809" s="49"/>
      <c r="S809" s="49"/>
      <c r="T809" s="49"/>
      <c r="U809" s="49"/>
      <c r="V809" s="49"/>
      <c r="W809" s="49"/>
    </row>
    <row r="810" spans="1:23">
      <c r="A810" s="49"/>
      <c r="B810" s="49"/>
      <c r="C810" s="49"/>
      <c r="D810" s="49"/>
      <c r="E810" s="49"/>
      <c r="F810" s="49"/>
      <c r="G810" s="49"/>
      <c r="H810" s="49"/>
      <c r="I810" s="49"/>
      <c r="J810" s="49"/>
      <c r="K810" s="49"/>
      <c r="L810" s="49"/>
      <c r="M810" s="49"/>
      <c r="N810" s="49"/>
      <c r="O810" s="49"/>
      <c r="P810" s="49"/>
      <c r="Q810" s="49"/>
      <c r="R810" s="49"/>
      <c r="S810" s="49"/>
      <c r="T810" s="49"/>
      <c r="U810" s="49"/>
      <c r="V810" s="49"/>
      <c r="W810" s="49"/>
    </row>
    <row r="811" spans="1:23">
      <c r="A811" s="49"/>
      <c r="B811" s="49"/>
      <c r="C811" s="49"/>
      <c r="D811" s="49"/>
      <c r="E811" s="49"/>
      <c r="F811" s="49"/>
      <c r="G811" s="49"/>
      <c r="H811" s="49"/>
      <c r="I811" s="49"/>
      <c r="J811" s="49"/>
      <c r="K811" s="49"/>
      <c r="L811" s="49"/>
      <c r="M811" s="49"/>
      <c r="N811" s="49"/>
      <c r="O811" s="49"/>
      <c r="P811" s="49"/>
      <c r="Q811" s="49"/>
      <c r="R811" s="49"/>
      <c r="S811" s="49"/>
      <c r="T811" s="49"/>
      <c r="U811" s="49"/>
      <c r="V811" s="49"/>
      <c r="W811" s="49"/>
    </row>
    <row r="812" spans="1:23">
      <c r="A812" s="49"/>
      <c r="B812" s="49"/>
      <c r="C812" s="49"/>
      <c r="D812" s="49"/>
      <c r="E812" s="49"/>
      <c r="F812" s="49"/>
      <c r="G812" s="49"/>
      <c r="H812" s="49"/>
      <c r="I812" s="49"/>
      <c r="J812" s="49"/>
      <c r="K812" s="49"/>
      <c r="L812" s="49"/>
      <c r="M812" s="49"/>
      <c r="N812" s="49"/>
      <c r="O812" s="49"/>
      <c r="P812" s="49"/>
      <c r="Q812" s="49"/>
      <c r="R812" s="49"/>
      <c r="S812" s="49"/>
      <c r="T812" s="49"/>
      <c r="U812" s="49"/>
      <c r="V812" s="49"/>
      <c r="W812" s="49"/>
    </row>
    <row r="813" spans="1:23">
      <c r="A813" s="49"/>
      <c r="B813" s="49"/>
      <c r="C813" s="49"/>
      <c r="D813" s="49"/>
      <c r="E813" s="49"/>
      <c r="F813" s="49"/>
      <c r="G813" s="49"/>
      <c r="H813" s="49"/>
      <c r="I813" s="49"/>
      <c r="J813" s="49"/>
      <c r="K813" s="49"/>
      <c r="L813" s="49"/>
      <c r="M813" s="49"/>
      <c r="N813" s="49"/>
      <c r="O813" s="49"/>
      <c r="P813" s="49"/>
      <c r="Q813" s="49"/>
      <c r="R813" s="49"/>
      <c r="S813" s="49"/>
      <c r="T813" s="49"/>
      <c r="U813" s="49"/>
      <c r="V813" s="49"/>
      <c r="W813" s="49"/>
    </row>
    <row r="814" spans="1:23">
      <c r="A814" s="49"/>
      <c r="B814" s="49"/>
      <c r="C814" s="49"/>
      <c r="D814" s="49"/>
      <c r="E814" s="49"/>
      <c r="F814" s="49"/>
      <c r="G814" s="49"/>
      <c r="H814" s="49"/>
      <c r="I814" s="49"/>
      <c r="J814" s="49"/>
      <c r="K814" s="49"/>
      <c r="L814" s="49"/>
      <c r="M814" s="49"/>
      <c r="N814" s="49"/>
      <c r="O814" s="49"/>
      <c r="P814" s="49"/>
      <c r="Q814" s="49"/>
      <c r="R814" s="49"/>
      <c r="S814" s="49"/>
      <c r="T814" s="49"/>
      <c r="U814" s="49"/>
      <c r="V814" s="49"/>
      <c r="W814" s="49"/>
    </row>
    <row r="815" spans="1:23">
      <c r="A815" s="49"/>
      <c r="B815" s="49"/>
      <c r="C815" s="49"/>
      <c r="D815" s="49"/>
      <c r="E815" s="49"/>
      <c r="F815" s="49"/>
      <c r="G815" s="49"/>
      <c r="H815" s="49"/>
      <c r="I815" s="49"/>
      <c r="J815" s="49"/>
      <c r="K815" s="49"/>
      <c r="L815" s="49"/>
      <c r="M815" s="49"/>
      <c r="N815" s="49"/>
      <c r="O815" s="49"/>
      <c r="P815" s="49"/>
      <c r="Q815" s="49"/>
      <c r="R815" s="49"/>
      <c r="S815" s="49"/>
      <c r="T815" s="49"/>
      <c r="U815" s="49"/>
      <c r="V815" s="49"/>
      <c r="W815" s="49"/>
    </row>
    <row r="816" spans="1:23">
      <c r="A816" s="49"/>
      <c r="B816" s="49"/>
      <c r="C816" s="49"/>
      <c r="D816" s="49"/>
      <c r="E816" s="49"/>
      <c r="F816" s="49"/>
      <c r="G816" s="49"/>
      <c r="H816" s="49"/>
      <c r="I816" s="49"/>
      <c r="J816" s="49"/>
      <c r="K816" s="49"/>
      <c r="L816" s="49"/>
      <c r="M816" s="49"/>
      <c r="N816" s="49"/>
      <c r="O816" s="49"/>
      <c r="P816" s="49"/>
      <c r="Q816" s="49"/>
      <c r="R816" s="49"/>
      <c r="S816" s="49"/>
      <c r="T816" s="49"/>
      <c r="U816" s="49"/>
      <c r="V816" s="49"/>
      <c r="W816" s="49"/>
    </row>
    <row r="817" spans="1:23">
      <c r="A817" s="49"/>
      <c r="B817" s="49"/>
      <c r="C817" s="49"/>
      <c r="D817" s="49"/>
      <c r="E817" s="49"/>
      <c r="F817" s="49"/>
      <c r="G817" s="49"/>
      <c r="H817" s="49"/>
      <c r="I817" s="49"/>
      <c r="J817" s="49"/>
      <c r="K817" s="49"/>
      <c r="L817" s="49"/>
      <c r="M817" s="49"/>
      <c r="N817" s="49"/>
      <c r="O817" s="49"/>
      <c r="P817" s="49"/>
      <c r="Q817" s="49"/>
      <c r="R817" s="49"/>
      <c r="S817" s="49"/>
      <c r="T817" s="49"/>
      <c r="U817" s="49"/>
      <c r="V817" s="49"/>
      <c r="W817" s="49"/>
    </row>
    <row r="818" spans="1:23">
      <c r="A818" s="49"/>
      <c r="B818" s="49"/>
      <c r="C818" s="49"/>
      <c r="D818" s="49"/>
      <c r="E818" s="49"/>
      <c r="F818" s="49"/>
      <c r="G818" s="49"/>
      <c r="H818" s="49"/>
      <c r="I818" s="49"/>
      <c r="J818" s="49"/>
      <c r="K818" s="49"/>
      <c r="L818" s="49"/>
      <c r="M818" s="49"/>
      <c r="N818" s="49"/>
      <c r="O818" s="49"/>
      <c r="P818" s="49"/>
      <c r="Q818" s="49"/>
      <c r="R818" s="49"/>
      <c r="S818" s="49"/>
      <c r="T818" s="49"/>
      <c r="U818" s="49"/>
      <c r="V818" s="49"/>
      <c r="W818" s="49"/>
    </row>
    <row r="819" spans="1:23">
      <c r="A819" s="49"/>
      <c r="B819" s="49"/>
      <c r="C819" s="49"/>
      <c r="D819" s="49"/>
      <c r="E819" s="49"/>
      <c r="F819" s="49"/>
      <c r="G819" s="49"/>
      <c r="H819" s="49"/>
      <c r="I819" s="49"/>
      <c r="J819" s="49"/>
      <c r="K819" s="49"/>
      <c r="L819" s="49"/>
      <c r="M819" s="49"/>
      <c r="N819" s="49"/>
      <c r="O819" s="49"/>
      <c r="P819" s="49"/>
      <c r="Q819" s="49"/>
      <c r="R819" s="49"/>
      <c r="S819" s="49"/>
      <c r="T819" s="49"/>
      <c r="U819" s="49"/>
      <c r="V819" s="49"/>
      <c r="W819" s="49"/>
    </row>
    <row r="820" spans="1:23">
      <c r="A820" s="49"/>
      <c r="B820" s="49"/>
      <c r="C820" s="49"/>
      <c r="D820" s="49"/>
      <c r="E820" s="49"/>
      <c r="F820" s="49"/>
      <c r="G820" s="49"/>
      <c r="H820" s="49"/>
      <c r="I820" s="49"/>
      <c r="J820" s="49"/>
      <c r="K820" s="49"/>
      <c r="L820" s="49"/>
      <c r="M820" s="49"/>
      <c r="N820" s="49"/>
      <c r="O820" s="49"/>
      <c r="P820" s="49"/>
      <c r="Q820" s="49"/>
      <c r="R820" s="49"/>
      <c r="S820" s="49"/>
      <c r="T820" s="49"/>
      <c r="U820" s="49"/>
      <c r="V820" s="49"/>
      <c r="W820" s="49"/>
    </row>
    <row r="821" spans="1:23">
      <c r="A821" s="49"/>
      <c r="B821" s="49"/>
      <c r="C821" s="49"/>
      <c r="D821" s="49"/>
      <c r="E821" s="49"/>
      <c r="F821" s="49"/>
      <c r="G821" s="49"/>
      <c r="H821" s="49"/>
      <c r="I821" s="49"/>
      <c r="J821" s="49"/>
      <c r="K821" s="49"/>
      <c r="L821" s="49"/>
      <c r="M821" s="49"/>
      <c r="N821" s="49"/>
      <c r="O821" s="49"/>
      <c r="P821" s="49"/>
      <c r="Q821" s="49"/>
      <c r="R821" s="49"/>
      <c r="S821" s="49"/>
      <c r="T821" s="49"/>
      <c r="U821" s="49"/>
      <c r="V821" s="49"/>
      <c r="W821" s="49"/>
    </row>
    <row r="822" spans="1:23">
      <c r="A822" s="49"/>
      <c r="B822" s="49"/>
      <c r="C822" s="49"/>
      <c r="D822" s="49"/>
      <c r="E822" s="49"/>
      <c r="F822" s="49"/>
      <c r="G822" s="49"/>
      <c r="H822" s="49"/>
      <c r="I822" s="49"/>
      <c r="J822" s="49"/>
      <c r="K822" s="49"/>
      <c r="L822" s="49"/>
      <c r="M822" s="49"/>
      <c r="N822" s="49"/>
      <c r="O822" s="49"/>
      <c r="P822" s="49"/>
      <c r="Q822" s="49"/>
      <c r="R822" s="49"/>
      <c r="S822" s="49"/>
      <c r="T822" s="49"/>
      <c r="U822" s="49"/>
      <c r="V822" s="49"/>
      <c r="W822" s="49"/>
    </row>
    <row r="823" spans="1:23">
      <c r="A823" s="49"/>
      <c r="B823" s="49"/>
      <c r="C823" s="49"/>
      <c r="D823" s="49"/>
      <c r="E823" s="49"/>
      <c r="F823" s="49"/>
      <c r="G823" s="49"/>
      <c r="H823" s="49"/>
      <c r="I823" s="49"/>
      <c r="J823" s="49"/>
      <c r="K823" s="49"/>
      <c r="L823" s="49"/>
      <c r="M823" s="49"/>
      <c r="N823" s="49"/>
      <c r="O823" s="49"/>
      <c r="P823" s="49"/>
      <c r="Q823" s="49"/>
      <c r="R823" s="49"/>
      <c r="S823" s="49"/>
      <c r="T823" s="49"/>
      <c r="U823" s="49"/>
      <c r="V823" s="49"/>
      <c r="W823" s="49"/>
    </row>
    <row r="824" spans="1:23">
      <c r="A824" s="49"/>
      <c r="B824" s="49"/>
      <c r="C824" s="49"/>
      <c r="D824" s="49"/>
      <c r="E824" s="49"/>
      <c r="F824" s="49"/>
      <c r="G824" s="49"/>
      <c r="H824" s="49"/>
      <c r="I824" s="49"/>
      <c r="J824" s="49"/>
      <c r="K824" s="49"/>
      <c r="L824" s="49"/>
      <c r="M824" s="49"/>
      <c r="N824" s="49"/>
      <c r="O824" s="49"/>
      <c r="P824" s="49"/>
      <c r="Q824" s="49"/>
      <c r="R824" s="49"/>
      <c r="S824" s="49"/>
      <c r="T824" s="49"/>
      <c r="U824" s="49"/>
      <c r="V824" s="49"/>
      <c r="W824" s="49"/>
    </row>
    <row r="825" spans="1:23">
      <c r="A825" s="49"/>
      <c r="B825" s="49"/>
      <c r="C825" s="49"/>
      <c r="D825" s="49"/>
      <c r="E825" s="49"/>
      <c r="F825" s="49"/>
      <c r="G825" s="49"/>
      <c r="H825" s="49"/>
      <c r="I825" s="49"/>
      <c r="J825" s="49"/>
      <c r="K825" s="49"/>
      <c r="L825" s="49"/>
      <c r="M825" s="49"/>
      <c r="N825" s="49"/>
      <c r="O825" s="49"/>
      <c r="P825" s="49"/>
      <c r="Q825" s="49"/>
      <c r="R825" s="49"/>
      <c r="S825" s="49"/>
      <c r="T825" s="49"/>
      <c r="U825" s="49"/>
      <c r="V825" s="49"/>
      <c r="W825" s="49"/>
    </row>
    <row r="826" spans="1:23">
      <c r="A826" s="49"/>
      <c r="B826" s="49"/>
      <c r="C826" s="49"/>
      <c r="D826" s="49"/>
      <c r="E826" s="49"/>
      <c r="F826" s="49"/>
      <c r="G826" s="49"/>
      <c r="H826" s="49"/>
      <c r="I826" s="49"/>
      <c r="J826" s="49"/>
      <c r="K826" s="49"/>
      <c r="L826" s="49"/>
      <c r="M826" s="49"/>
      <c r="N826" s="49"/>
      <c r="O826" s="49"/>
      <c r="P826" s="49"/>
      <c r="Q826" s="49"/>
      <c r="R826" s="49"/>
      <c r="S826" s="49"/>
      <c r="T826" s="49"/>
      <c r="U826" s="49"/>
      <c r="V826" s="49"/>
      <c r="W826" s="49"/>
    </row>
    <row r="827" spans="1:23">
      <c r="A827" s="49"/>
      <c r="B827" s="49"/>
      <c r="C827" s="49"/>
      <c r="D827" s="49"/>
      <c r="E827" s="49"/>
      <c r="F827" s="49"/>
      <c r="G827" s="49"/>
      <c r="H827" s="49"/>
      <c r="I827" s="49"/>
      <c r="J827" s="49"/>
      <c r="K827" s="49"/>
      <c r="L827" s="49"/>
      <c r="M827" s="49"/>
      <c r="N827" s="49"/>
      <c r="O827" s="49"/>
      <c r="P827" s="49"/>
      <c r="Q827" s="49"/>
      <c r="R827" s="49"/>
      <c r="S827" s="49"/>
      <c r="T827" s="49"/>
      <c r="U827" s="49"/>
      <c r="V827" s="49"/>
      <c r="W827" s="49"/>
    </row>
    <row r="828" spans="1:23">
      <c r="A828" s="49"/>
      <c r="B828" s="49"/>
      <c r="C828" s="49"/>
      <c r="D828" s="49"/>
      <c r="E828" s="49"/>
      <c r="F828" s="49"/>
      <c r="G828" s="49"/>
      <c r="H828" s="49"/>
      <c r="I828" s="49"/>
      <c r="J828" s="49"/>
      <c r="K828" s="49"/>
      <c r="L828" s="49"/>
      <c r="M828" s="49"/>
      <c r="N828" s="49"/>
      <c r="O828" s="49"/>
      <c r="P828" s="49"/>
      <c r="Q828" s="49"/>
      <c r="R828" s="49"/>
      <c r="S828" s="49"/>
      <c r="T828" s="49"/>
      <c r="U828" s="49"/>
      <c r="V828" s="49"/>
      <c r="W828" s="49"/>
    </row>
    <row r="829" spans="1:23">
      <c r="A829" s="49"/>
      <c r="B829" s="49"/>
      <c r="C829" s="49"/>
      <c r="D829" s="49"/>
      <c r="E829" s="49"/>
      <c r="F829" s="49"/>
      <c r="G829" s="49"/>
      <c r="H829" s="49"/>
      <c r="I829" s="49"/>
      <c r="J829" s="49"/>
      <c r="K829" s="49"/>
      <c r="L829" s="49"/>
      <c r="M829" s="49"/>
      <c r="N829" s="49"/>
      <c r="O829" s="49"/>
      <c r="P829" s="49"/>
      <c r="Q829" s="49"/>
      <c r="R829" s="49"/>
      <c r="S829" s="49"/>
      <c r="T829" s="49"/>
      <c r="U829" s="49"/>
      <c r="V829" s="49"/>
      <c r="W829" s="49"/>
    </row>
    <row r="830" spans="1:23">
      <c r="A830" s="49"/>
      <c r="B830" s="49"/>
      <c r="C830" s="49"/>
      <c r="D830" s="49"/>
      <c r="E830" s="49"/>
      <c r="F830" s="49"/>
      <c r="G830" s="49"/>
      <c r="H830" s="49"/>
      <c r="I830" s="49"/>
      <c r="J830" s="49"/>
      <c r="K830" s="49"/>
      <c r="L830" s="49"/>
      <c r="M830" s="49"/>
      <c r="N830" s="49"/>
      <c r="O830" s="49"/>
      <c r="P830" s="49"/>
      <c r="Q830" s="49"/>
      <c r="R830" s="49"/>
      <c r="S830" s="49"/>
      <c r="T830" s="49"/>
      <c r="U830" s="49"/>
      <c r="V830" s="49"/>
      <c r="W830" s="49"/>
    </row>
    <row r="831" spans="1:23">
      <c r="A831" s="49"/>
      <c r="B831" s="49"/>
      <c r="C831" s="49"/>
      <c r="D831" s="49"/>
      <c r="E831" s="49"/>
      <c r="F831" s="49"/>
      <c r="G831" s="49"/>
      <c r="H831" s="49"/>
      <c r="I831" s="49"/>
      <c r="J831" s="49"/>
      <c r="K831" s="49"/>
      <c r="L831" s="49"/>
      <c r="M831" s="49"/>
      <c r="N831" s="49"/>
      <c r="O831" s="49"/>
      <c r="P831" s="49"/>
      <c r="Q831" s="49"/>
      <c r="R831" s="49"/>
      <c r="S831" s="49"/>
      <c r="T831" s="49"/>
      <c r="U831" s="49"/>
      <c r="V831" s="49"/>
      <c r="W831" s="49"/>
    </row>
    <row r="832" spans="1:23">
      <c r="A832" s="49"/>
      <c r="B832" s="49"/>
      <c r="C832" s="49"/>
      <c r="D832" s="49"/>
      <c r="E832" s="49"/>
      <c r="F832" s="49"/>
      <c r="G832" s="49"/>
      <c r="H832" s="49"/>
      <c r="I832" s="49"/>
      <c r="J832" s="49"/>
      <c r="K832" s="49"/>
      <c r="L832" s="49"/>
      <c r="M832" s="49"/>
      <c r="N832" s="49"/>
      <c r="O832" s="49"/>
      <c r="P832" s="49"/>
      <c r="Q832" s="49"/>
      <c r="R832" s="49"/>
      <c r="S832" s="49"/>
      <c r="T832" s="49"/>
      <c r="U832" s="49"/>
      <c r="V832" s="49"/>
      <c r="W832" s="49"/>
    </row>
    <row r="833" spans="1:23">
      <c r="A833" s="49"/>
      <c r="B833" s="49"/>
      <c r="C833" s="49"/>
      <c r="D833" s="49"/>
      <c r="E833" s="49"/>
      <c r="F833" s="49"/>
      <c r="G833" s="49"/>
      <c r="H833" s="49"/>
      <c r="I833" s="49"/>
      <c r="J833" s="49"/>
      <c r="K833" s="49"/>
      <c r="L833" s="49"/>
      <c r="M833" s="49"/>
      <c r="N833" s="49"/>
      <c r="O833" s="49"/>
      <c r="P833" s="49"/>
      <c r="Q833" s="49"/>
      <c r="R833" s="49"/>
      <c r="S833" s="49"/>
      <c r="T833" s="49"/>
      <c r="U833" s="49"/>
      <c r="V833" s="49"/>
      <c r="W833" s="49"/>
    </row>
    <row r="834" spans="1:23">
      <c r="A834" s="49"/>
      <c r="B834" s="49"/>
      <c r="C834" s="49"/>
      <c r="D834" s="49"/>
      <c r="E834" s="49"/>
      <c r="F834" s="49"/>
      <c r="G834" s="49"/>
      <c r="H834" s="49"/>
      <c r="I834" s="49"/>
      <c r="J834" s="49"/>
      <c r="K834" s="49"/>
      <c r="L834" s="49"/>
      <c r="M834" s="49"/>
      <c r="N834" s="49"/>
      <c r="O834" s="49"/>
      <c r="P834" s="49"/>
      <c r="Q834" s="49"/>
      <c r="R834" s="49"/>
      <c r="S834" s="49"/>
      <c r="T834" s="49"/>
      <c r="U834" s="49"/>
      <c r="V834" s="49"/>
      <c r="W834" s="49"/>
    </row>
    <row r="835" spans="1:23">
      <c r="A835" s="49"/>
      <c r="B835" s="49"/>
      <c r="C835" s="49"/>
      <c r="D835" s="49"/>
      <c r="E835" s="49"/>
      <c r="F835" s="49"/>
      <c r="G835" s="49"/>
      <c r="H835" s="49"/>
      <c r="I835" s="49"/>
      <c r="J835" s="49"/>
      <c r="K835" s="49"/>
      <c r="L835" s="49"/>
      <c r="M835" s="49"/>
      <c r="N835" s="49"/>
      <c r="O835" s="49"/>
      <c r="P835" s="49"/>
      <c r="Q835" s="49"/>
      <c r="R835" s="49"/>
      <c r="S835" s="49"/>
      <c r="T835" s="49"/>
      <c r="U835" s="49"/>
      <c r="V835" s="49"/>
      <c r="W835" s="49"/>
    </row>
    <row r="836" spans="1:23">
      <c r="A836" s="49"/>
      <c r="B836" s="49"/>
      <c r="C836" s="49"/>
      <c r="D836" s="49"/>
      <c r="E836" s="49"/>
      <c r="F836" s="49"/>
      <c r="G836" s="49"/>
      <c r="H836" s="49"/>
      <c r="I836" s="49"/>
      <c r="J836" s="49"/>
      <c r="K836" s="49"/>
      <c r="L836" s="49"/>
      <c r="M836" s="49"/>
      <c r="N836" s="49"/>
      <c r="O836" s="49"/>
      <c r="P836" s="49"/>
      <c r="Q836" s="49"/>
      <c r="R836" s="49"/>
      <c r="S836" s="49"/>
      <c r="T836" s="49"/>
      <c r="U836" s="49"/>
      <c r="V836" s="49"/>
      <c r="W836" s="49"/>
    </row>
    <row r="837" spans="1:23">
      <c r="A837" s="49"/>
      <c r="B837" s="49"/>
      <c r="C837" s="49"/>
      <c r="D837" s="49"/>
      <c r="E837" s="49"/>
      <c r="F837" s="49"/>
      <c r="G837" s="49"/>
      <c r="H837" s="49"/>
      <c r="I837" s="49"/>
      <c r="J837" s="49"/>
      <c r="K837" s="49"/>
      <c r="L837" s="49"/>
      <c r="M837" s="49"/>
      <c r="N837" s="49"/>
      <c r="O837" s="49"/>
      <c r="P837" s="49"/>
      <c r="Q837" s="49"/>
      <c r="R837" s="49"/>
      <c r="S837" s="49"/>
      <c r="T837" s="49"/>
      <c r="U837" s="49"/>
      <c r="V837" s="49"/>
      <c r="W837" s="49"/>
    </row>
    <row r="838" spans="1:23">
      <c r="A838" s="49"/>
      <c r="B838" s="49"/>
      <c r="C838" s="49"/>
      <c r="D838" s="49"/>
      <c r="E838" s="49"/>
      <c r="F838" s="49"/>
      <c r="G838" s="49"/>
      <c r="H838" s="49"/>
      <c r="I838" s="49"/>
      <c r="J838" s="49"/>
      <c r="K838" s="49"/>
      <c r="L838" s="49"/>
      <c r="M838" s="49"/>
      <c r="N838" s="49"/>
      <c r="O838" s="49"/>
      <c r="P838" s="49"/>
      <c r="Q838" s="49"/>
      <c r="R838" s="49"/>
      <c r="S838" s="49"/>
      <c r="T838" s="49"/>
      <c r="U838" s="49"/>
      <c r="V838" s="49"/>
      <c r="W838" s="49"/>
    </row>
    <row r="839" spans="1:23">
      <c r="A839" s="49"/>
      <c r="B839" s="49"/>
      <c r="C839" s="49"/>
      <c r="D839" s="49"/>
      <c r="E839" s="49"/>
      <c r="F839" s="49"/>
      <c r="G839" s="49"/>
      <c r="H839" s="49"/>
      <c r="I839" s="49"/>
      <c r="J839" s="49"/>
      <c r="K839" s="49"/>
      <c r="L839" s="49"/>
      <c r="M839" s="49"/>
      <c r="N839" s="49"/>
      <c r="O839" s="49"/>
      <c r="P839" s="49"/>
      <c r="Q839" s="49"/>
      <c r="R839" s="49"/>
      <c r="S839" s="49"/>
      <c r="T839" s="49"/>
      <c r="U839" s="49"/>
      <c r="V839" s="49"/>
      <c r="W839" s="49"/>
    </row>
    <row r="840" spans="1:23">
      <c r="A840" s="49"/>
      <c r="B840" s="49"/>
      <c r="C840" s="49"/>
      <c r="D840" s="49"/>
      <c r="E840" s="49"/>
      <c r="F840" s="49"/>
      <c r="G840" s="49"/>
      <c r="H840" s="49"/>
      <c r="I840" s="49"/>
      <c r="J840" s="49"/>
      <c r="K840" s="49"/>
      <c r="L840" s="49"/>
      <c r="M840" s="49"/>
      <c r="N840" s="49"/>
      <c r="O840" s="49"/>
      <c r="P840" s="49"/>
      <c r="Q840" s="49"/>
      <c r="R840" s="49"/>
      <c r="S840" s="49"/>
      <c r="T840" s="49"/>
      <c r="U840" s="49"/>
      <c r="V840" s="49"/>
      <c r="W840" s="49"/>
    </row>
    <row r="841" spans="1:23">
      <c r="A841" s="49"/>
      <c r="B841" s="49"/>
      <c r="C841" s="49"/>
      <c r="D841" s="49"/>
      <c r="E841" s="49"/>
      <c r="F841" s="49"/>
      <c r="G841" s="49"/>
      <c r="H841" s="49"/>
      <c r="I841" s="49"/>
      <c r="J841" s="49"/>
      <c r="K841" s="49"/>
      <c r="L841" s="49"/>
      <c r="M841" s="49"/>
      <c r="N841" s="49"/>
      <c r="O841" s="49"/>
      <c r="P841" s="49"/>
      <c r="Q841" s="49"/>
      <c r="R841" s="49"/>
      <c r="S841" s="49"/>
      <c r="T841" s="49"/>
      <c r="U841" s="49"/>
      <c r="V841" s="49"/>
      <c r="W841" s="49"/>
    </row>
    <row r="842" spans="1:23">
      <c r="A842" s="49"/>
      <c r="B842" s="49"/>
      <c r="C842" s="49"/>
      <c r="D842" s="49"/>
      <c r="E842" s="49"/>
      <c r="F842" s="49"/>
      <c r="G842" s="49"/>
      <c r="H842" s="49"/>
      <c r="I842" s="49"/>
      <c r="J842" s="49"/>
      <c r="K842" s="49"/>
      <c r="L842" s="49"/>
      <c r="M842" s="49"/>
      <c r="N842" s="49"/>
      <c r="O842" s="49"/>
      <c r="P842" s="49"/>
      <c r="Q842" s="49"/>
      <c r="R842" s="49"/>
      <c r="S842" s="49"/>
      <c r="T842" s="49"/>
      <c r="U842" s="49"/>
      <c r="V842" s="49"/>
      <c r="W842" s="49"/>
    </row>
    <row r="843" spans="1:23">
      <c r="A843" s="49"/>
      <c r="B843" s="49"/>
      <c r="C843" s="49"/>
      <c r="D843" s="49"/>
      <c r="E843" s="49"/>
      <c r="F843" s="49"/>
      <c r="G843" s="49"/>
      <c r="H843" s="49"/>
      <c r="I843" s="49"/>
      <c r="J843" s="49"/>
      <c r="K843" s="49"/>
      <c r="L843" s="49"/>
      <c r="M843" s="49"/>
      <c r="N843" s="49"/>
      <c r="O843" s="49"/>
      <c r="P843" s="49"/>
      <c r="Q843" s="49"/>
      <c r="R843" s="49"/>
      <c r="S843" s="49"/>
      <c r="T843" s="49"/>
      <c r="U843" s="49"/>
      <c r="V843" s="49"/>
      <c r="W843" s="49"/>
    </row>
    <row r="844" spans="1:23">
      <c r="A844" s="49"/>
      <c r="B844" s="49"/>
      <c r="C844" s="49"/>
      <c r="D844" s="49"/>
      <c r="E844" s="49"/>
      <c r="F844" s="49"/>
      <c r="G844" s="49"/>
      <c r="H844" s="49"/>
      <c r="I844" s="49"/>
      <c r="J844" s="49"/>
      <c r="K844" s="49"/>
      <c r="L844" s="49"/>
      <c r="M844" s="49"/>
      <c r="N844" s="49"/>
      <c r="O844" s="49"/>
      <c r="P844" s="49"/>
      <c r="Q844" s="49"/>
      <c r="R844" s="49"/>
      <c r="S844" s="49"/>
      <c r="T844" s="49"/>
      <c r="U844" s="49"/>
      <c r="V844" s="49"/>
      <c r="W844" s="49"/>
    </row>
    <row r="845" spans="1:23">
      <c r="A845" s="49"/>
      <c r="B845" s="49"/>
      <c r="C845" s="49"/>
      <c r="D845" s="49"/>
      <c r="E845" s="49"/>
      <c r="F845" s="49"/>
      <c r="G845" s="49"/>
      <c r="H845" s="49"/>
      <c r="I845" s="49"/>
      <c r="J845" s="49"/>
      <c r="K845" s="49"/>
      <c r="L845" s="49"/>
      <c r="M845" s="49"/>
      <c r="N845" s="49"/>
      <c r="O845" s="49"/>
      <c r="P845" s="49"/>
      <c r="Q845" s="49"/>
      <c r="R845" s="49"/>
      <c r="S845" s="49"/>
      <c r="T845" s="49"/>
      <c r="U845" s="49"/>
      <c r="V845" s="49"/>
      <c r="W845" s="49"/>
    </row>
    <row r="846" spans="1:23">
      <c r="A846" s="49"/>
      <c r="B846" s="49"/>
      <c r="C846" s="49"/>
      <c r="D846" s="49"/>
      <c r="E846" s="49"/>
      <c r="F846" s="49"/>
      <c r="G846" s="49"/>
      <c r="H846" s="49"/>
      <c r="I846" s="49"/>
      <c r="J846" s="49"/>
      <c r="K846" s="49"/>
      <c r="L846" s="49"/>
      <c r="M846" s="49"/>
      <c r="N846" s="49"/>
      <c r="O846" s="49"/>
      <c r="P846" s="49"/>
      <c r="Q846" s="49"/>
      <c r="R846" s="49"/>
      <c r="S846" s="49"/>
      <c r="T846" s="49"/>
      <c r="U846" s="49"/>
      <c r="V846" s="49"/>
      <c r="W846" s="49"/>
    </row>
    <row r="847" spans="1:23">
      <c r="A847" s="49"/>
      <c r="B847" s="49"/>
      <c r="C847" s="49"/>
      <c r="D847" s="49"/>
      <c r="E847" s="49"/>
      <c r="F847" s="49"/>
      <c r="G847" s="49"/>
      <c r="H847" s="49"/>
      <c r="I847" s="49"/>
      <c r="J847" s="49"/>
      <c r="K847" s="49"/>
      <c r="L847" s="49"/>
      <c r="M847" s="49"/>
      <c r="N847" s="49"/>
      <c r="O847" s="49"/>
      <c r="P847" s="49"/>
      <c r="Q847" s="49"/>
      <c r="R847" s="49"/>
      <c r="S847" s="49"/>
      <c r="T847" s="49"/>
      <c r="U847" s="49"/>
      <c r="V847" s="49"/>
      <c r="W847" s="49"/>
    </row>
    <row r="848" spans="1:23">
      <c r="A848" s="49"/>
      <c r="B848" s="49"/>
      <c r="C848" s="49"/>
      <c r="D848" s="49"/>
      <c r="E848" s="49"/>
      <c r="F848" s="49"/>
      <c r="G848" s="49"/>
      <c r="H848" s="49"/>
      <c r="I848" s="49"/>
      <c r="J848" s="49"/>
      <c r="K848" s="49"/>
      <c r="L848" s="49"/>
      <c r="M848" s="49"/>
      <c r="N848" s="49"/>
      <c r="O848" s="49"/>
      <c r="P848" s="49"/>
      <c r="Q848" s="49"/>
      <c r="R848" s="49"/>
      <c r="S848" s="49"/>
      <c r="T848" s="49"/>
      <c r="U848" s="49"/>
      <c r="V848" s="49"/>
      <c r="W848" s="49"/>
    </row>
    <row r="849" spans="1:23">
      <c r="A849" s="49"/>
      <c r="B849" s="49"/>
      <c r="C849" s="49"/>
      <c r="D849" s="49"/>
      <c r="E849" s="49"/>
      <c r="F849" s="49"/>
      <c r="G849" s="49"/>
      <c r="H849" s="49"/>
      <c r="I849" s="49"/>
      <c r="J849" s="49"/>
      <c r="K849" s="49"/>
      <c r="L849" s="49"/>
      <c r="M849" s="49"/>
      <c r="N849" s="49"/>
      <c r="O849" s="49"/>
      <c r="P849" s="49"/>
      <c r="Q849" s="49"/>
      <c r="R849" s="49"/>
      <c r="S849" s="49"/>
      <c r="T849" s="49"/>
      <c r="U849" s="49"/>
      <c r="V849" s="49"/>
      <c r="W849" s="49"/>
    </row>
    <row r="850" spans="1:23">
      <c r="A850" s="49"/>
      <c r="B850" s="49"/>
      <c r="C850" s="49"/>
      <c r="D850" s="49"/>
      <c r="E850" s="49"/>
      <c r="F850" s="49"/>
      <c r="G850" s="49"/>
      <c r="H850" s="49"/>
      <c r="I850" s="49"/>
      <c r="J850" s="49"/>
      <c r="K850" s="49"/>
      <c r="L850" s="49"/>
      <c r="M850" s="49"/>
      <c r="N850" s="49"/>
      <c r="O850" s="49"/>
      <c r="P850" s="49"/>
      <c r="Q850" s="49"/>
      <c r="R850" s="49"/>
      <c r="S850" s="49"/>
      <c r="T850" s="49"/>
      <c r="U850" s="49"/>
      <c r="V850" s="49"/>
      <c r="W850" s="49"/>
    </row>
    <row r="851" spans="1:23">
      <c r="A851" s="49"/>
      <c r="B851" s="49"/>
      <c r="C851" s="49"/>
      <c r="D851" s="49"/>
      <c r="E851" s="49"/>
      <c r="F851" s="49"/>
      <c r="G851" s="49"/>
      <c r="H851" s="49"/>
      <c r="I851" s="49"/>
      <c r="J851" s="49"/>
      <c r="K851" s="49"/>
      <c r="L851" s="49"/>
      <c r="M851" s="49"/>
      <c r="N851" s="49"/>
      <c r="O851" s="49"/>
      <c r="P851" s="49"/>
      <c r="Q851" s="49"/>
      <c r="R851" s="49"/>
      <c r="S851" s="49"/>
      <c r="T851" s="49"/>
      <c r="U851" s="49"/>
      <c r="V851" s="49"/>
      <c r="W851" s="49"/>
    </row>
    <row r="852" spans="1:23">
      <c r="A852" s="49"/>
      <c r="B852" s="49"/>
      <c r="C852" s="49"/>
      <c r="D852" s="49"/>
      <c r="E852" s="49"/>
      <c r="F852" s="49"/>
      <c r="G852" s="49"/>
      <c r="H852" s="49"/>
      <c r="I852" s="49"/>
      <c r="J852" s="49"/>
      <c r="K852" s="49"/>
      <c r="L852" s="49"/>
      <c r="M852" s="49"/>
      <c r="N852" s="49"/>
      <c r="O852" s="49"/>
      <c r="P852" s="49"/>
      <c r="Q852" s="49"/>
      <c r="R852" s="49"/>
      <c r="S852" s="49"/>
      <c r="T852" s="49"/>
      <c r="U852" s="49"/>
      <c r="V852" s="49"/>
      <c r="W852" s="49"/>
    </row>
    <row r="853" spans="1:23">
      <c r="A853" s="49"/>
      <c r="B853" s="49"/>
      <c r="C853" s="49"/>
      <c r="D853" s="49"/>
      <c r="E853" s="49"/>
      <c r="F853" s="49"/>
      <c r="G853" s="49"/>
      <c r="H853" s="49"/>
      <c r="I853" s="49"/>
      <c r="J853" s="49"/>
      <c r="K853" s="49"/>
      <c r="L853" s="49"/>
      <c r="M853" s="49"/>
      <c r="N853" s="49"/>
      <c r="O853" s="49"/>
      <c r="P853" s="49"/>
      <c r="Q853" s="49"/>
      <c r="R853" s="49"/>
      <c r="S853" s="49"/>
      <c r="T853" s="49"/>
      <c r="U853" s="49"/>
      <c r="V853" s="49"/>
      <c r="W853" s="49"/>
    </row>
    <row r="854" spans="1:23">
      <c r="A854" s="49"/>
      <c r="B854" s="49"/>
      <c r="C854" s="49"/>
      <c r="D854" s="49"/>
      <c r="E854" s="49"/>
      <c r="F854" s="49"/>
      <c r="G854" s="49"/>
      <c r="H854" s="49"/>
      <c r="I854" s="49"/>
      <c r="J854" s="49"/>
      <c r="K854" s="49"/>
      <c r="L854" s="49"/>
      <c r="M854" s="49"/>
      <c r="N854" s="49"/>
      <c r="O854" s="49"/>
      <c r="P854" s="49"/>
      <c r="Q854" s="49"/>
      <c r="R854" s="49"/>
      <c r="S854" s="49"/>
      <c r="T854" s="49"/>
      <c r="U854" s="49"/>
      <c r="V854" s="49"/>
      <c r="W854" s="49"/>
    </row>
    <row r="855" spans="1:23">
      <c r="A855" s="49"/>
      <c r="B855" s="49"/>
      <c r="C855" s="49"/>
      <c r="D855" s="49"/>
      <c r="E855" s="49"/>
      <c r="F855" s="49"/>
      <c r="G855" s="49"/>
      <c r="H855" s="49"/>
      <c r="I855" s="49"/>
      <c r="J855" s="49"/>
      <c r="K855" s="49"/>
      <c r="L855" s="49"/>
      <c r="M855" s="49"/>
      <c r="N855" s="49"/>
      <c r="O855" s="49"/>
      <c r="P855" s="49"/>
      <c r="Q855" s="49"/>
      <c r="R855" s="49"/>
      <c r="S855" s="49"/>
      <c r="T855" s="49"/>
      <c r="U855" s="49"/>
      <c r="V855" s="49"/>
      <c r="W855" s="49"/>
    </row>
    <row r="856" spans="1:23">
      <c r="A856" s="49"/>
      <c r="B856" s="49"/>
      <c r="C856" s="49"/>
      <c r="D856" s="49"/>
      <c r="E856" s="49"/>
      <c r="F856" s="49"/>
      <c r="G856" s="49"/>
      <c r="H856" s="49"/>
      <c r="I856" s="49"/>
      <c r="J856" s="49"/>
      <c r="K856" s="49"/>
      <c r="L856" s="49"/>
      <c r="M856" s="49"/>
      <c r="N856" s="49"/>
      <c r="O856" s="49"/>
      <c r="P856" s="49"/>
      <c r="Q856" s="49"/>
      <c r="R856" s="49"/>
      <c r="S856" s="49"/>
      <c r="T856" s="49"/>
      <c r="U856" s="49"/>
      <c r="V856" s="49"/>
      <c r="W856" s="49"/>
    </row>
    <row r="857" spans="1:23">
      <c r="A857" s="49"/>
      <c r="B857" s="49"/>
      <c r="C857" s="49"/>
      <c r="D857" s="49"/>
      <c r="E857" s="49"/>
      <c r="F857" s="49"/>
      <c r="G857" s="49"/>
      <c r="H857" s="49"/>
      <c r="I857" s="49"/>
      <c r="J857" s="49"/>
      <c r="K857" s="49"/>
      <c r="L857" s="49"/>
      <c r="M857" s="49"/>
      <c r="N857" s="49"/>
      <c r="O857" s="49"/>
      <c r="P857" s="49"/>
      <c r="Q857" s="49"/>
      <c r="R857" s="49"/>
      <c r="S857" s="49"/>
      <c r="T857" s="49"/>
      <c r="U857" s="49"/>
      <c r="V857" s="49"/>
      <c r="W857" s="49"/>
    </row>
    <row r="858" spans="1:23">
      <c r="A858" s="49"/>
      <c r="B858" s="49"/>
      <c r="C858" s="49"/>
      <c r="D858" s="49"/>
      <c r="E858" s="49"/>
      <c r="F858" s="49"/>
      <c r="G858" s="49"/>
      <c r="H858" s="49"/>
      <c r="I858" s="49"/>
      <c r="J858" s="49"/>
      <c r="K858" s="49"/>
      <c r="L858" s="49"/>
      <c r="M858" s="49"/>
      <c r="N858" s="49"/>
      <c r="O858" s="49"/>
      <c r="P858" s="49"/>
      <c r="Q858" s="49"/>
      <c r="R858" s="49"/>
      <c r="S858" s="49"/>
      <c r="T858" s="49"/>
      <c r="U858" s="49"/>
      <c r="V858" s="49"/>
      <c r="W858" s="49"/>
    </row>
    <row r="859" spans="1:23">
      <c r="A859" s="49"/>
      <c r="B859" s="49"/>
      <c r="C859" s="49"/>
      <c r="D859" s="49"/>
      <c r="E859" s="49"/>
      <c r="F859" s="49"/>
      <c r="G859" s="49"/>
      <c r="H859" s="49"/>
      <c r="I859" s="49"/>
      <c r="J859" s="49"/>
      <c r="K859" s="49"/>
      <c r="L859" s="49"/>
      <c r="M859" s="49"/>
      <c r="N859" s="49"/>
      <c r="O859" s="49"/>
      <c r="P859" s="49"/>
      <c r="Q859" s="49"/>
      <c r="R859" s="49"/>
      <c r="S859" s="49"/>
      <c r="T859" s="49"/>
      <c r="U859" s="49"/>
      <c r="V859" s="49"/>
      <c r="W859" s="49"/>
    </row>
    <row r="860" spans="1:23">
      <c r="A860" s="49"/>
      <c r="B860" s="49"/>
      <c r="C860" s="49"/>
      <c r="D860" s="49"/>
      <c r="E860" s="49"/>
      <c r="F860" s="49"/>
      <c r="G860" s="49"/>
      <c r="H860" s="49"/>
      <c r="I860" s="49"/>
      <c r="J860" s="49"/>
      <c r="K860" s="49"/>
      <c r="L860" s="49"/>
      <c r="M860" s="49"/>
      <c r="N860" s="49"/>
      <c r="O860" s="49"/>
      <c r="P860" s="49"/>
      <c r="Q860" s="49"/>
      <c r="R860" s="49"/>
      <c r="S860" s="49"/>
      <c r="T860" s="49"/>
      <c r="U860" s="49"/>
      <c r="V860" s="49"/>
      <c r="W860" s="49"/>
    </row>
    <row r="861" spans="1:23">
      <c r="A861" s="49"/>
      <c r="B861" s="49"/>
      <c r="C861" s="49"/>
      <c r="D861" s="49"/>
      <c r="E861" s="49"/>
      <c r="F861" s="49"/>
      <c r="G861" s="49"/>
      <c r="H861" s="49"/>
      <c r="I861" s="49"/>
      <c r="J861" s="49"/>
      <c r="K861" s="49"/>
      <c r="L861" s="49"/>
      <c r="M861" s="49"/>
      <c r="N861" s="49"/>
      <c r="O861" s="49"/>
      <c r="P861" s="49"/>
      <c r="Q861" s="49"/>
      <c r="R861" s="49"/>
      <c r="S861" s="49"/>
      <c r="T861" s="49"/>
      <c r="U861" s="49"/>
      <c r="V861" s="49"/>
      <c r="W861" s="49"/>
    </row>
    <row r="862" spans="1:23">
      <c r="A862" s="49"/>
      <c r="B862" s="49"/>
      <c r="C862" s="49"/>
      <c r="D862" s="49"/>
      <c r="E862" s="49"/>
      <c r="F862" s="49"/>
      <c r="G862" s="49"/>
      <c r="H862" s="49"/>
      <c r="I862" s="49"/>
      <c r="J862" s="49"/>
      <c r="K862" s="49"/>
      <c r="L862" s="49"/>
      <c r="M862" s="49"/>
      <c r="N862" s="49"/>
      <c r="O862" s="49"/>
      <c r="P862" s="49"/>
      <c r="Q862" s="49"/>
      <c r="R862" s="49"/>
      <c r="S862" s="49"/>
      <c r="T862" s="49"/>
      <c r="U862" s="49"/>
      <c r="V862" s="49"/>
      <c r="W862" s="49"/>
    </row>
    <row r="863" spans="1:23">
      <c r="A863" s="49"/>
      <c r="B863" s="49"/>
      <c r="C863" s="49"/>
      <c r="D863" s="49"/>
      <c r="E863" s="49"/>
      <c r="F863" s="49"/>
      <c r="G863" s="49"/>
      <c r="H863" s="49"/>
      <c r="I863" s="49"/>
      <c r="J863" s="49"/>
      <c r="K863" s="49"/>
      <c r="L863" s="49"/>
      <c r="M863" s="49"/>
      <c r="N863" s="49"/>
      <c r="O863" s="49"/>
      <c r="P863" s="49"/>
      <c r="Q863" s="49"/>
      <c r="R863" s="49"/>
      <c r="S863" s="49"/>
      <c r="T863" s="49"/>
      <c r="U863" s="49"/>
      <c r="V863" s="49"/>
      <c r="W863" s="49"/>
    </row>
    <row r="864" spans="1:23">
      <c r="A864" s="49"/>
      <c r="B864" s="49"/>
      <c r="C864" s="49"/>
      <c r="D864" s="49"/>
      <c r="E864" s="49"/>
      <c r="F864" s="49"/>
      <c r="G864" s="49"/>
      <c r="H864" s="49"/>
      <c r="I864" s="49"/>
      <c r="J864" s="49"/>
      <c r="K864" s="49"/>
      <c r="L864" s="49"/>
      <c r="M864" s="49"/>
      <c r="N864" s="49"/>
      <c r="O864" s="49"/>
      <c r="P864" s="49"/>
      <c r="Q864" s="49"/>
      <c r="R864" s="49"/>
      <c r="S864" s="49"/>
      <c r="T864" s="49"/>
      <c r="U864" s="49"/>
      <c r="V864" s="49"/>
      <c r="W864" s="49"/>
    </row>
    <row r="865" spans="1:23">
      <c r="A865" s="49"/>
      <c r="B865" s="49"/>
      <c r="C865" s="49"/>
      <c r="D865" s="49"/>
      <c r="E865" s="49"/>
      <c r="F865" s="49"/>
      <c r="G865" s="49"/>
      <c r="H865" s="49"/>
      <c r="I865" s="49"/>
      <c r="J865" s="49"/>
      <c r="K865" s="49"/>
      <c r="L865" s="49"/>
      <c r="M865" s="49"/>
      <c r="N865" s="49"/>
      <c r="O865" s="49"/>
      <c r="P865" s="49"/>
      <c r="Q865" s="49"/>
      <c r="R865" s="49"/>
      <c r="S865" s="49"/>
      <c r="T865" s="49"/>
      <c r="U865" s="49"/>
      <c r="V865" s="49"/>
      <c r="W865" s="49"/>
    </row>
    <row r="866" spans="1:23">
      <c r="A866" s="49"/>
      <c r="B866" s="49"/>
      <c r="C866" s="49"/>
      <c r="D866" s="49"/>
      <c r="E866" s="49"/>
      <c r="F866" s="49"/>
      <c r="G866" s="49"/>
      <c r="H866" s="49"/>
      <c r="I866" s="49"/>
      <c r="J866" s="49"/>
      <c r="K866" s="49"/>
      <c r="L866" s="49"/>
      <c r="M866" s="49"/>
      <c r="N866" s="49"/>
      <c r="O866" s="49"/>
      <c r="P866" s="49"/>
      <c r="Q866" s="49"/>
      <c r="R866" s="49"/>
      <c r="S866" s="49"/>
      <c r="T866" s="49"/>
      <c r="U866" s="49"/>
      <c r="V866" s="49"/>
      <c r="W866" s="49"/>
    </row>
    <row r="867" spans="1:23">
      <c r="A867" s="49"/>
      <c r="B867" s="49"/>
      <c r="C867" s="49"/>
      <c r="D867" s="49"/>
      <c r="E867" s="49"/>
      <c r="F867" s="49"/>
      <c r="G867" s="49"/>
      <c r="H867" s="49"/>
      <c r="I867" s="49"/>
      <c r="J867" s="49"/>
      <c r="K867" s="49"/>
      <c r="L867" s="49"/>
      <c r="M867" s="49"/>
      <c r="N867" s="49"/>
      <c r="O867" s="49"/>
      <c r="P867" s="49"/>
      <c r="Q867" s="49"/>
      <c r="R867" s="49"/>
      <c r="S867" s="49"/>
      <c r="T867" s="49"/>
      <c r="U867" s="49"/>
      <c r="V867" s="49"/>
      <c r="W867" s="49"/>
    </row>
    <row r="868" spans="1:23">
      <c r="A868" s="49"/>
      <c r="B868" s="49"/>
      <c r="C868" s="49"/>
      <c r="D868" s="49"/>
      <c r="E868" s="49"/>
      <c r="F868" s="49"/>
      <c r="G868" s="49"/>
      <c r="H868" s="49"/>
      <c r="I868" s="49"/>
      <c r="J868" s="49"/>
      <c r="K868" s="49"/>
      <c r="L868" s="49"/>
      <c r="M868" s="49"/>
      <c r="N868" s="49"/>
      <c r="O868" s="49"/>
      <c r="P868" s="49"/>
      <c r="Q868" s="49"/>
      <c r="R868" s="49"/>
      <c r="S868" s="49"/>
      <c r="T868" s="49"/>
      <c r="U868" s="49"/>
      <c r="V868" s="49"/>
      <c r="W868" s="49"/>
    </row>
    <row r="869" spans="1:23">
      <c r="A869" s="49"/>
      <c r="B869" s="49"/>
      <c r="C869" s="49"/>
      <c r="D869" s="49"/>
      <c r="E869" s="49"/>
      <c r="F869" s="49"/>
      <c r="G869" s="49"/>
      <c r="H869" s="49"/>
      <c r="I869" s="49"/>
      <c r="J869" s="49"/>
      <c r="K869" s="49"/>
      <c r="L869" s="49"/>
      <c r="M869" s="49"/>
      <c r="N869" s="49"/>
      <c r="O869" s="49"/>
      <c r="P869" s="49"/>
      <c r="Q869" s="49"/>
      <c r="R869" s="49"/>
      <c r="S869" s="49"/>
      <c r="T869" s="49"/>
      <c r="U869" s="49"/>
      <c r="V869" s="49"/>
      <c r="W869" s="49"/>
    </row>
    <row r="870" spans="1:23">
      <c r="A870" s="49"/>
      <c r="B870" s="49"/>
      <c r="C870" s="49"/>
      <c r="D870" s="49"/>
      <c r="E870" s="49"/>
      <c r="F870" s="49"/>
      <c r="G870" s="49"/>
      <c r="H870" s="49"/>
      <c r="I870" s="49"/>
      <c r="J870" s="49"/>
      <c r="K870" s="49"/>
      <c r="L870" s="49"/>
      <c r="M870" s="49"/>
      <c r="N870" s="49"/>
      <c r="O870" s="49"/>
      <c r="P870" s="49"/>
      <c r="Q870" s="49"/>
      <c r="R870" s="49"/>
      <c r="S870" s="49"/>
      <c r="T870" s="49"/>
      <c r="U870" s="49"/>
      <c r="V870" s="49"/>
      <c r="W870" s="49"/>
    </row>
    <row r="871" spans="1:23">
      <c r="A871" s="49"/>
      <c r="B871" s="49"/>
      <c r="C871" s="49"/>
      <c r="D871" s="49"/>
      <c r="E871" s="49"/>
      <c r="F871" s="49"/>
      <c r="G871" s="49"/>
      <c r="H871" s="49"/>
      <c r="I871" s="49"/>
      <c r="J871" s="49"/>
      <c r="K871" s="49"/>
      <c r="L871" s="49"/>
      <c r="M871" s="49"/>
      <c r="N871" s="49"/>
      <c r="O871" s="49"/>
      <c r="P871" s="49"/>
      <c r="Q871" s="49"/>
      <c r="R871" s="49"/>
      <c r="S871" s="49"/>
      <c r="T871" s="49"/>
      <c r="U871" s="49"/>
      <c r="V871" s="49"/>
      <c r="W871" s="49"/>
    </row>
    <row r="872" spans="1:23">
      <c r="A872" s="49"/>
      <c r="B872" s="49"/>
      <c r="C872" s="49"/>
      <c r="D872" s="49"/>
      <c r="E872" s="49"/>
      <c r="F872" s="49"/>
      <c r="G872" s="49"/>
      <c r="H872" s="49"/>
      <c r="I872" s="49"/>
      <c r="J872" s="49"/>
      <c r="K872" s="49"/>
      <c r="L872" s="49"/>
      <c r="M872" s="49"/>
      <c r="N872" s="49"/>
      <c r="O872" s="49"/>
      <c r="P872" s="49"/>
      <c r="Q872" s="49"/>
      <c r="R872" s="49"/>
      <c r="S872" s="49"/>
      <c r="T872" s="49"/>
      <c r="U872" s="49"/>
      <c r="V872" s="49"/>
      <c r="W872" s="49"/>
    </row>
    <row r="873" spans="1:23">
      <c r="A873" s="49"/>
      <c r="B873" s="49"/>
      <c r="C873" s="49"/>
      <c r="D873" s="49"/>
      <c r="E873" s="49"/>
      <c r="F873" s="49"/>
      <c r="G873" s="49"/>
      <c r="H873" s="49"/>
      <c r="I873" s="49"/>
      <c r="J873" s="49"/>
      <c r="K873" s="49"/>
      <c r="L873" s="49"/>
      <c r="M873" s="49"/>
      <c r="N873" s="49"/>
      <c r="O873" s="49"/>
      <c r="P873" s="49"/>
      <c r="Q873" s="49"/>
      <c r="R873" s="49"/>
      <c r="S873" s="49"/>
      <c r="T873" s="49"/>
      <c r="U873" s="49"/>
      <c r="V873" s="49"/>
      <c r="W873" s="49"/>
    </row>
    <row r="874" spans="1:23">
      <c r="A874" s="49"/>
      <c r="B874" s="49"/>
      <c r="C874" s="49"/>
      <c r="D874" s="49"/>
      <c r="E874" s="49"/>
      <c r="F874" s="49"/>
      <c r="G874" s="49"/>
      <c r="H874" s="49"/>
      <c r="I874" s="49"/>
      <c r="J874" s="49"/>
      <c r="K874" s="49"/>
      <c r="L874" s="49"/>
      <c r="M874" s="49"/>
      <c r="N874" s="49"/>
      <c r="O874" s="49"/>
      <c r="P874" s="49"/>
      <c r="Q874" s="49"/>
      <c r="R874" s="49"/>
      <c r="S874" s="49"/>
      <c r="T874" s="49"/>
      <c r="U874" s="49"/>
      <c r="V874" s="49"/>
      <c r="W874" s="49"/>
    </row>
    <row r="875" spans="1:23">
      <c r="A875" s="49"/>
      <c r="B875" s="49"/>
      <c r="C875" s="49"/>
      <c r="D875" s="49"/>
      <c r="E875" s="49"/>
      <c r="F875" s="49"/>
      <c r="G875" s="49"/>
      <c r="H875" s="49"/>
      <c r="I875" s="49"/>
      <c r="J875" s="49"/>
      <c r="K875" s="49"/>
      <c r="L875" s="49"/>
      <c r="M875" s="49"/>
      <c r="N875" s="49"/>
      <c r="O875" s="49"/>
      <c r="P875" s="49"/>
      <c r="Q875" s="49"/>
      <c r="R875" s="49"/>
      <c r="S875" s="49"/>
      <c r="T875" s="49"/>
      <c r="U875" s="49"/>
      <c r="V875" s="49"/>
      <c r="W875" s="49"/>
    </row>
    <row r="876" spans="1:23">
      <c r="A876" s="49"/>
      <c r="B876" s="49"/>
      <c r="C876" s="49"/>
      <c r="D876" s="49"/>
      <c r="E876" s="49"/>
      <c r="F876" s="49"/>
      <c r="G876" s="49"/>
      <c r="H876" s="49"/>
      <c r="I876" s="49"/>
      <c r="J876" s="49"/>
      <c r="K876" s="49"/>
      <c r="L876" s="49"/>
      <c r="M876" s="49"/>
      <c r="N876" s="49"/>
      <c r="O876" s="49"/>
      <c r="P876" s="49"/>
      <c r="Q876" s="49"/>
      <c r="R876" s="49"/>
      <c r="S876" s="49"/>
      <c r="T876" s="49"/>
      <c r="U876" s="49"/>
      <c r="V876" s="49"/>
      <c r="W876" s="49"/>
    </row>
    <row r="877" spans="1:23">
      <c r="A877" s="49"/>
      <c r="B877" s="49"/>
      <c r="C877" s="49"/>
      <c r="D877" s="49"/>
      <c r="E877" s="49"/>
      <c r="F877" s="49"/>
      <c r="G877" s="49"/>
      <c r="H877" s="49"/>
      <c r="I877" s="49"/>
      <c r="J877" s="49"/>
      <c r="K877" s="49"/>
      <c r="L877" s="49"/>
      <c r="M877" s="49"/>
      <c r="N877" s="49"/>
      <c r="O877" s="49"/>
      <c r="P877" s="49"/>
      <c r="Q877" s="49"/>
      <c r="R877" s="49"/>
      <c r="S877" s="49"/>
      <c r="T877" s="49"/>
      <c r="U877" s="49"/>
      <c r="V877" s="49"/>
      <c r="W877" s="49"/>
    </row>
    <row r="878" spans="1:23">
      <c r="A878" s="49"/>
      <c r="B878" s="49"/>
      <c r="C878" s="49"/>
      <c r="D878" s="49"/>
      <c r="E878" s="49"/>
      <c r="F878" s="49"/>
      <c r="G878" s="49"/>
      <c r="H878" s="49"/>
      <c r="I878" s="49"/>
      <c r="J878" s="49"/>
      <c r="K878" s="49"/>
      <c r="L878" s="49"/>
      <c r="M878" s="49"/>
      <c r="N878" s="49"/>
      <c r="O878" s="49"/>
      <c r="P878" s="49"/>
      <c r="Q878" s="49"/>
      <c r="R878" s="49"/>
      <c r="S878" s="49"/>
      <c r="T878" s="49"/>
      <c r="U878" s="49"/>
      <c r="V878" s="49"/>
      <c r="W878" s="49"/>
    </row>
    <row r="879" spans="1:23">
      <c r="A879" s="49"/>
      <c r="B879" s="49"/>
      <c r="C879" s="49"/>
      <c r="D879" s="49"/>
      <c r="E879" s="49"/>
      <c r="F879" s="49"/>
      <c r="G879" s="49"/>
      <c r="H879" s="49"/>
      <c r="I879" s="49"/>
      <c r="J879" s="49"/>
      <c r="K879" s="49"/>
      <c r="L879" s="49"/>
      <c r="M879" s="49"/>
      <c r="N879" s="49"/>
      <c r="O879" s="49"/>
      <c r="P879" s="49"/>
      <c r="Q879" s="49"/>
      <c r="R879" s="49"/>
      <c r="S879" s="49"/>
      <c r="T879" s="49"/>
      <c r="U879" s="49"/>
      <c r="V879" s="49"/>
      <c r="W879" s="49"/>
    </row>
    <row r="880" spans="1:23">
      <c r="A880" s="49"/>
      <c r="B880" s="49"/>
      <c r="C880" s="49"/>
      <c r="D880" s="49"/>
      <c r="E880" s="49"/>
      <c r="F880" s="49"/>
      <c r="G880" s="49"/>
      <c r="H880" s="49"/>
      <c r="I880" s="49"/>
      <c r="J880" s="49"/>
      <c r="K880" s="49"/>
      <c r="L880" s="49"/>
      <c r="M880" s="49"/>
      <c r="N880" s="49"/>
      <c r="O880" s="49"/>
      <c r="P880" s="49"/>
      <c r="Q880" s="49"/>
      <c r="R880" s="49"/>
      <c r="S880" s="49"/>
      <c r="T880" s="49"/>
      <c r="U880" s="49"/>
      <c r="V880" s="49"/>
      <c r="W880" s="49"/>
    </row>
    <row r="881" spans="1:23">
      <c r="A881" s="49"/>
      <c r="B881" s="49"/>
      <c r="C881" s="49"/>
      <c r="D881" s="49"/>
      <c r="E881" s="49"/>
      <c r="F881" s="49"/>
      <c r="G881" s="49"/>
      <c r="H881" s="49"/>
      <c r="I881" s="49"/>
      <c r="J881" s="49"/>
      <c r="K881" s="49"/>
      <c r="L881" s="49"/>
      <c r="M881" s="49"/>
      <c r="N881" s="49"/>
      <c r="O881" s="49"/>
      <c r="P881" s="49"/>
      <c r="Q881" s="49"/>
      <c r="R881" s="49"/>
      <c r="S881" s="49"/>
      <c r="T881" s="49"/>
      <c r="U881" s="49"/>
      <c r="V881" s="49"/>
      <c r="W881" s="49"/>
    </row>
    <row r="882" spans="1:23">
      <c r="A882" s="49"/>
      <c r="B882" s="49"/>
      <c r="C882" s="49"/>
      <c r="D882" s="49"/>
      <c r="E882" s="49"/>
      <c r="F882" s="49"/>
      <c r="G882" s="49"/>
      <c r="H882" s="49"/>
      <c r="I882" s="49"/>
      <c r="J882" s="49"/>
      <c r="K882" s="49"/>
      <c r="L882" s="49"/>
      <c r="M882" s="49"/>
      <c r="N882" s="49"/>
      <c r="O882" s="49"/>
      <c r="P882" s="49"/>
      <c r="Q882" s="49"/>
      <c r="R882" s="49"/>
      <c r="S882" s="49"/>
      <c r="T882" s="49"/>
      <c r="U882" s="49"/>
      <c r="V882" s="49"/>
      <c r="W882" s="49"/>
    </row>
    <row r="883" spans="1:23">
      <c r="A883" s="49"/>
      <c r="B883" s="49"/>
      <c r="C883" s="49"/>
      <c r="D883" s="49"/>
      <c r="E883" s="49"/>
      <c r="F883" s="49"/>
      <c r="G883" s="49"/>
      <c r="H883" s="49"/>
      <c r="I883" s="49"/>
      <c r="J883" s="49"/>
      <c r="K883" s="49"/>
      <c r="L883" s="49"/>
      <c r="M883" s="49"/>
      <c r="N883" s="49"/>
      <c r="O883" s="49"/>
      <c r="P883" s="49"/>
      <c r="Q883" s="49"/>
      <c r="R883" s="49"/>
      <c r="S883" s="49"/>
      <c r="T883" s="49"/>
      <c r="U883" s="49"/>
      <c r="V883" s="49"/>
      <c r="W883" s="49"/>
    </row>
    <row r="884" spans="1:23">
      <c r="A884" s="49"/>
      <c r="B884" s="49"/>
      <c r="C884" s="49"/>
      <c r="D884" s="49"/>
      <c r="E884" s="49"/>
      <c r="F884" s="49"/>
      <c r="G884" s="49"/>
      <c r="H884" s="49"/>
      <c r="I884" s="49"/>
      <c r="J884" s="49"/>
      <c r="K884" s="49"/>
      <c r="L884" s="49"/>
      <c r="M884" s="49"/>
      <c r="N884" s="49"/>
      <c r="O884" s="49"/>
      <c r="P884" s="49"/>
      <c r="Q884" s="49"/>
      <c r="R884" s="49"/>
      <c r="S884" s="49"/>
      <c r="T884" s="49"/>
      <c r="U884" s="49"/>
      <c r="V884" s="49"/>
      <c r="W884" s="49"/>
    </row>
    <row r="885" spans="1:23">
      <c r="A885" s="49"/>
      <c r="B885" s="49"/>
      <c r="C885" s="49"/>
      <c r="D885" s="49"/>
      <c r="E885" s="49"/>
      <c r="F885" s="49"/>
      <c r="G885" s="49"/>
      <c r="H885" s="49"/>
      <c r="I885" s="49"/>
      <c r="J885" s="49"/>
      <c r="K885" s="49"/>
      <c r="L885" s="49"/>
      <c r="M885" s="49"/>
      <c r="N885" s="49"/>
      <c r="O885" s="49"/>
      <c r="P885" s="49"/>
      <c r="Q885" s="49"/>
      <c r="R885" s="49"/>
      <c r="S885" s="49"/>
      <c r="T885" s="49"/>
      <c r="U885" s="49"/>
      <c r="V885" s="49"/>
      <c r="W885" s="49"/>
    </row>
    <row r="886" spans="1:23">
      <c r="A886" s="49"/>
      <c r="B886" s="49"/>
      <c r="C886" s="49"/>
      <c r="D886" s="49"/>
      <c r="E886" s="49"/>
      <c r="F886" s="49"/>
      <c r="G886" s="49"/>
      <c r="H886" s="49"/>
      <c r="I886" s="49"/>
      <c r="J886" s="49"/>
      <c r="K886" s="49"/>
      <c r="L886" s="49"/>
      <c r="M886" s="49"/>
      <c r="N886" s="49"/>
      <c r="O886" s="49"/>
      <c r="P886" s="49"/>
      <c r="Q886" s="49"/>
      <c r="R886" s="49"/>
      <c r="S886" s="49"/>
      <c r="T886" s="49"/>
      <c r="U886" s="49"/>
      <c r="V886" s="49"/>
      <c r="W886" s="49"/>
    </row>
    <row r="887" spans="1:23">
      <c r="A887" s="49"/>
      <c r="B887" s="49"/>
      <c r="C887" s="49"/>
      <c r="D887" s="49"/>
      <c r="E887" s="49"/>
      <c r="F887" s="49"/>
      <c r="G887" s="49"/>
      <c r="H887" s="49"/>
      <c r="I887" s="49"/>
      <c r="J887" s="49"/>
      <c r="K887" s="49"/>
      <c r="L887" s="49"/>
      <c r="M887" s="49"/>
      <c r="N887" s="49"/>
      <c r="O887" s="49"/>
      <c r="P887" s="49"/>
      <c r="Q887" s="49"/>
      <c r="R887" s="49"/>
      <c r="S887" s="49"/>
      <c r="T887" s="49"/>
      <c r="U887" s="49"/>
      <c r="V887" s="49"/>
      <c r="W887" s="49"/>
    </row>
    <row r="888" spans="1:23">
      <c r="A888" s="49"/>
      <c r="B888" s="49"/>
      <c r="C888" s="49"/>
      <c r="D888" s="49"/>
      <c r="E888" s="49"/>
      <c r="F888" s="49"/>
      <c r="G888" s="49"/>
      <c r="H888" s="49"/>
      <c r="I888" s="49"/>
      <c r="J888" s="49"/>
      <c r="K888" s="49"/>
      <c r="L888" s="49"/>
      <c r="M888" s="49"/>
      <c r="N888" s="49"/>
      <c r="O888" s="49"/>
      <c r="P888" s="49"/>
      <c r="Q888" s="49"/>
      <c r="R888" s="49"/>
      <c r="S888" s="49"/>
      <c r="T888" s="49"/>
      <c r="U888" s="49"/>
      <c r="V888" s="49"/>
      <c r="W888" s="49"/>
    </row>
    <row r="889" spans="1:23">
      <c r="A889" s="49"/>
      <c r="B889" s="49"/>
      <c r="C889" s="49"/>
      <c r="D889" s="49"/>
      <c r="E889" s="49"/>
      <c r="F889" s="49"/>
      <c r="G889" s="49"/>
      <c r="H889" s="49"/>
      <c r="I889" s="49"/>
      <c r="J889" s="49"/>
      <c r="K889" s="49"/>
      <c r="L889" s="49"/>
      <c r="M889" s="49"/>
      <c r="N889" s="49"/>
      <c r="O889" s="49"/>
      <c r="P889" s="49"/>
      <c r="Q889" s="49"/>
      <c r="R889" s="49"/>
      <c r="S889" s="49"/>
      <c r="T889" s="49"/>
      <c r="U889" s="49"/>
      <c r="V889" s="49"/>
      <c r="W889" s="49"/>
    </row>
    <row r="890" spans="1:23">
      <c r="A890" s="49"/>
      <c r="B890" s="49"/>
      <c r="C890" s="49"/>
      <c r="D890" s="49"/>
      <c r="E890" s="49"/>
      <c r="F890" s="49"/>
      <c r="G890" s="49"/>
      <c r="H890" s="49"/>
      <c r="I890" s="49"/>
      <c r="J890" s="49"/>
      <c r="K890" s="49"/>
      <c r="L890" s="49"/>
      <c r="M890" s="49"/>
      <c r="N890" s="49"/>
      <c r="O890" s="49"/>
      <c r="P890" s="49"/>
      <c r="Q890" s="49"/>
      <c r="R890" s="49"/>
      <c r="S890" s="49"/>
      <c r="T890" s="49"/>
      <c r="U890" s="49"/>
      <c r="V890" s="49"/>
      <c r="W890" s="49"/>
    </row>
    <row r="891" spans="1:23">
      <c r="A891" s="49"/>
      <c r="B891" s="49"/>
      <c r="C891" s="49"/>
      <c r="D891" s="49"/>
      <c r="E891" s="49"/>
      <c r="F891" s="49"/>
      <c r="G891" s="49"/>
      <c r="H891" s="49"/>
      <c r="I891" s="49"/>
      <c r="J891" s="49"/>
      <c r="K891" s="49"/>
      <c r="L891" s="49"/>
      <c r="M891" s="49"/>
      <c r="N891" s="49"/>
      <c r="O891" s="49"/>
      <c r="P891" s="49"/>
      <c r="Q891" s="49"/>
      <c r="R891" s="49"/>
      <c r="S891" s="49"/>
      <c r="T891" s="49"/>
      <c r="U891" s="49"/>
      <c r="V891" s="49"/>
      <c r="W891" s="49"/>
    </row>
    <row r="892" spans="1:23">
      <c r="A892" s="49"/>
      <c r="B892" s="49"/>
      <c r="C892" s="49"/>
      <c r="D892" s="49"/>
      <c r="E892" s="49"/>
      <c r="F892" s="49"/>
      <c r="G892" s="49"/>
      <c r="H892" s="49"/>
      <c r="I892" s="49"/>
      <c r="J892" s="49"/>
      <c r="K892" s="49"/>
      <c r="L892" s="49"/>
      <c r="M892" s="49"/>
      <c r="N892" s="49"/>
      <c r="O892" s="49"/>
      <c r="P892" s="49"/>
      <c r="Q892" s="49"/>
      <c r="R892" s="49"/>
      <c r="S892" s="49"/>
      <c r="T892" s="49"/>
      <c r="U892" s="49"/>
      <c r="V892" s="49"/>
      <c r="W892" s="49"/>
    </row>
    <row r="893" spans="1:23">
      <c r="A893" s="49"/>
      <c r="B893" s="49"/>
      <c r="C893" s="49"/>
      <c r="D893" s="49"/>
      <c r="E893" s="49"/>
      <c r="F893" s="49"/>
      <c r="G893" s="49"/>
      <c r="H893" s="49"/>
      <c r="I893" s="49"/>
      <c r="J893" s="49"/>
      <c r="K893" s="49"/>
      <c r="L893" s="49"/>
      <c r="M893" s="49"/>
      <c r="N893" s="49"/>
      <c r="O893" s="49"/>
      <c r="P893" s="49"/>
      <c r="Q893" s="49"/>
      <c r="R893" s="49"/>
      <c r="S893" s="49"/>
      <c r="T893" s="49"/>
      <c r="U893" s="49"/>
      <c r="V893" s="49"/>
      <c r="W893" s="49"/>
    </row>
    <row r="894" spans="1:23">
      <c r="A894" s="49"/>
      <c r="B894" s="49"/>
      <c r="C894" s="49"/>
      <c r="D894" s="49"/>
      <c r="E894" s="49"/>
      <c r="F894" s="49"/>
      <c r="G894" s="49"/>
      <c r="H894" s="49"/>
      <c r="I894" s="49"/>
      <c r="J894" s="49"/>
      <c r="K894" s="49"/>
      <c r="L894" s="49"/>
      <c r="M894" s="49"/>
      <c r="N894" s="49"/>
      <c r="O894" s="49"/>
      <c r="P894" s="49"/>
      <c r="Q894" s="49"/>
      <c r="R894" s="49"/>
      <c r="S894" s="49"/>
      <c r="T894" s="49"/>
      <c r="U894" s="49"/>
      <c r="V894" s="49"/>
      <c r="W894" s="49"/>
    </row>
    <row r="895" spans="1:23">
      <c r="A895" s="49"/>
      <c r="B895" s="49"/>
      <c r="C895" s="49"/>
      <c r="D895" s="49"/>
      <c r="E895" s="49"/>
      <c r="F895" s="49"/>
      <c r="G895" s="49"/>
      <c r="H895" s="49"/>
      <c r="I895" s="49"/>
      <c r="J895" s="49"/>
      <c r="K895" s="49"/>
      <c r="L895" s="49"/>
      <c r="M895" s="49"/>
      <c r="N895" s="49"/>
      <c r="O895" s="49"/>
      <c r="P895" s="49"/>
      <c r="Q895" s="49"/>
      <c r="R895" s="49"/>
      <c r="S895" s="49"/>
      <c r="T895" s="49"/>
      <c r="U895" s="49"/>
      <c r="V895" s="49"/>
      <c r="W895" s="49"/>
    </row>
    <row r="896" spans="1:23">
      <c r="A896" s="49"/>
      <c r="B896" s="49"/>
      <c r="C896" s="49"/>
      <c r="D896" s="49"/>
      <c r="E896" s="49"/>
      <c r="F896" s="49"/>
      <c r="G896" s="49"/>
      <c r="H896" s="49"/>
      <c r="I896" s="49"/>
      <c r="J896" s="49"/>
      <c r="K896" s="49"/>
      <c r="L896" s="49"/>
      <c r="M896" s="49"/>
      <c r="N896" s="49"/>
      <c r="O896" s="49"/>
      <c r="P896" s="49"/>
      <c r="Q896" s="49"/>
      <c r="R896" s="49"/>
      <c r="S896" s="49"/>
      <c r="T896" s="49"/>
      <c r="U896" s="49"/>
      <c r="V896" s="49"/>
      <c r="W896" s="49"/>
    </row>
    <row r="897" spans="1:23">
      <c r="A897" s="49"/>
      <c r="B897" s="49"/>
      <c r="C897" s="49"/>
      <c r="D897" s="49"/>
      <c r="E897" s="49"/>
      <c r="F897" s="49"/>
      <c r="G897" s="49"/>
      <c r="H897" s="49"/>
      <c r="I897" s="49"/>
      <c r="J897" s="49"/>
      <c r="K897" s="49"/>
      <c r="L897" s="49"/>
      <c r="M897" s="49"/>
      <c r="N897" s="49"/>
      <c r="O897" s="49"/>
      <c r="P897" s="49"/>
      <c r="Q897" s="49"/>
      <c r="R897" s="49"/>
      <c r="S897" s="49"/>
      <c r="T897" s="49"/>
      <c r="U897" s="49"/>
      <c r="V897" s="49"/>
      <c r="W897" s="49"/>
    </row>
    <row r="898" spans="1:23">
      <c r="A898" s="49"/>
      <c r="B898" s="49"/>
      <c r="C898" s="49"/>
      <c r="D898" s="49"/>
      <c r="E898" s="49"/>
      <c r="F898" s="49"/>
      <c r="G898" s="49"/>
      <c r="H898" s="49"/>
      <c r="I898" s="49"/>
      <c r="J898" s="49"/>
      <c r="K898" s="49"/>
      <c r="L898" s="49"/>
      <c r="M898" s="49"/>
      <c r="N898" s="49"/>
      <c r="O898" s="49"/>
      <c r="P898" s="49"/>
      <c r="Q898" s="49"/>
      <c r="R898" s="49"/>
      <c r="S898" s="49"/>
      <c r="T898" s="49"/>
      <c r="U898" s="49"/>
      <c r="V898" s="49"/>
      <c r="W898" s="49"/>
    </row>
    <row r="899" spans="1:23">
      <c r="A899" s="49"/>
      <c r="B899" s="49"/>
      <c r="C899" s="49"/>
      <c r="D899" s="49"/>
      <c r="E899" s="49"/>
      <c r="F899" s="49"/>
      <c r="G899" s="49"/>
      <c r="H899" s="49"/>
      <c r="I899" s="49"/>
      <c r="J899" s="49"/>
      <c r="K899" s="49"/>
      <c r="L899" s="49"/>
      <c r="M899" s="49"/>
      <c r="N899" s="49"/>
      <c r="O899" s="49"/>
      <c r="P899" s="49"/>
      <c r="Q899" s="49"/>
      <c r="R899" s="49"/>
      <c r="S899" s="49"/>
      <c r="T899" s="49"/>
      <c r="U899" s="49"/>
      <c r="V899" s="49"/>
      <c r="W899" s="49"/>
    </row>
    <row r="900" spans="1:23">
      <c r="A900" s="49"/>
      <c r="B900" s="49"/>
      <c r="C900" s="49"/>
      <c r="D900" s="49"/>
      <c r="E900" s="49"/>
      <c r="F900" s="49"/>
      <c r="G900" s="49"/>
      <c r="H900" s="49"/>
      <c r="I900" s="49"/>
      <c r="J900" s="49"/>
      <c r="K900" s="49"/>
      <c r="L900" s="49"/>
      <c r="M900" s="49"/>
      <c r="N900" s="49"/>
      <c r="O900" s="49"/>
      <c r="P900" s="49"/>
      <c r="Q900" s="49"/>
      <c r="R900" s="49"/>
      <c r="S900" s="49"/>
      <c r="T900" s="49"/>
      <c r="U900" s="49"/>
      <c r="V900" s="49"/>
      <c r="W900" s="49"/>
    </row>
    <row r="901" spans="1:23">
      <c r="A901" s="49"/>
      <c r="B901" s="49"/>
      <c r="C901" s="49"/>
      <c r="D901" s="49"/>
      <c r="E901" s="49"/>
      <c r="F901" s="49"/>
      <c r="G901" s="49"/>
      <c r="H901" s="49"/>
      <c r="I901" s="49"/>
      <c r="J901" s="49"/>
      <c r="K901" s="49"/>
      <c r="L901" s="49"/>
      <c r="M901" s="49"/>
      <c r="N901" s="49"/>
      <c r="O901" s="49"/>
      <c r="P901" s="49"/>
      <c r="Q901" s="49"/>
      <c r="R901" s="49"/>
      <c r="S901" s="49"/>
      <c r="T901" s="49"/>
      <c r="U901" s="49"/>
      <c r="V901" s="49"/>
      <c r="W901" s="49"/>
    </row>
    <row r="902" spans="1:23">
      <c r="A902" s="49"/>
      <c r="B902" s="49"/>
      <c r="C902" s="49"/>
      <c r="D902" s="49"/>
      <c r="E902" s="49"/>
      <c r="F902" s="49"/>
      <c r="G902" s="49"/>
      <c r="H902" s="49"/>
      <c r="I902" s="49"/>
      <c r="J902" s="49"/>
      <c r="K902" s="49"/>
      <c r="L902" s="49"/>
      <c r="M902" s="49"/>
      <c r="N902" s="49"/>
      <c r="O902" s="49"/>
      <c r="P902" s="49"/>
      <c r="Q902" s="49"/>
      <c r="R902" s="49"/>
      <c r="S902" s="49"/>
      <c r="T902" s="49"/>
      <c r="U902" s="49"/>
      <c r="V902" s="49"/>
      <c r="W902" s="49"/>
    </row>
    <row r="903" spans="1:23">
      <c r="A903" s="49"/>
      <c r="B903" s="49"/>
      <c r="C903" s="49"/>
      <c r="D903" s="49"/>
      <c r="E903" s="49"/>
      <c r="F903" s="49"/>
      <c r="G903" s="49"/>
      <c r="H903" s="49"/>
      <c r="I903" s="49"/>
      <c r="J903" s="49"/>
      <c r="K903" s="49"/>
      <c r="L903" s="49"/>
      <c r="M903" s="49"/>
      <c r="N903" s="49"/>
      <c r="O903" s="49"/>
      <c r="P903" s="49"/>
      <c r="Q903" s="49"/>
      <c r="R903" s="49"/>
      <c r="S903" s="49"/>
      <c r="T903" s="49"/>
      <c r="U903" s="49"/>
      <c r="V903" s="49"/>
      <c r="W903" s="49"/>
    </row>
    <row r="904" spans="1:23">
      <c r="A904" s="49"/>
      <c r="B904" s="49"/>
      <c r="C904" s="49"/>
      <c r="D904" s="49"/>
      <c r="E904" s="49"/>
      <c r="F904" s="49"/>
      <c r="G904" s="49"/>
      <c r="H904" s="49"/>
      <c r="I904" s="49"/>
      <c r="J904" s="49"/>
      <c r="K904" s="49"/>
      <c r="L904" s="49"/>
      <c r="M904" s="49"/>
      <c r="N904" s="49"/>
      <c r="O904" s="49"/>
      <c r="P904" s="49"/>
      <c r="Q904" s="49"/>
      <c r="R904" s="49"/>
      <c r="S904" s="49"/>
      <c r="T904" s="49"/>
      <c r="U904" s="49"/>
      <c r="V904" s="49"/>
      <c r="W904" s="49"/>
    </row>
    <row r="905" spans="1:23">
      <c r="A905" s="49"/>
      <c r="B905" s="49"/>
      <c r="C905" s="49"/>
      <c r="D905" s="49"/>
      <c r="E905" s="49"/>
      <c r="F905" s="49"/>
      <c r="G905" s="49"/>
      <c r="H905" s="49"/>
      <c r="I905" s="49"/>
      <c r="J905" s="49"/>
      <c r="K905" s="49"/>
      <c r="L905" s="49"/>
      <c r="M905" s="49"/>
      <c r="N905" s="49"/>
      <c r="O905" s="49"/>
      <c r="P905" s="49"/>
      <c r="Q905" s="49"/>
      <c r="R905" s="49"/>
      <c r="S905" s="49"/>
      <c r="T905" s="49"/>
      <c r="U905" s="49"/>
      <c r="V905" s="49"/>
      <c r="W905" s="49"/>
    </row>
    <row r="906" spans="1:23">
      <c r="A906" s="49"/>
      <c r="B906" s="49"/>
      <c r="C906" s="49"/>
      <c r="D906" s="49"/>
      <c r="E906" s="49"/>
      <c r="F906" s="49"/>
      <c r="G906" s="49"/>
      <c r="H906" s="49"/>
      <c r="I906" s="49"/>
      <c r="J906" s="49"/>
      <c r="K906" s="49"/>
      <c r="L906" s="49"/>
      <c r="M906" s="49"/>
      <c r="N906" s="49"/>
      <c r="O906" s="49"/>
      <c r="P906" s="49"/>
      <c r="Q906" s="49"/>
      <c r="R906" s="49"/>
      <c r="S906" s="49"/>
      <c r="T906" s="49"/>
      <c r="U906" s="49"/>
      <c r="V906" s="49"/>
      <c r="W906" s="49"/>
    </row>
    <row r="907" spans="1:23">
      <c r="A907" s="49"/>
      <c r="B907" s="49"/>
      <c r="C907" s="49"/>
      <c r="D907" s="49"/>
      <c r="E907" s="49"/>
      <c r="F907" s="49"/>
      <c r="G907" s="49"/>
      <c r="H907" s="49"/>
      <c r="I907" s="49"/>
      <c r="J907" s="49"/>
      <c r="K907" s="49"/>
      <c r="L907" s="49"/>
      <c r="M907" s="49"/>
      <c r="N907" s="49"/>
      <c r="O907" s="49"/>
      <c r="P907" s="49"/>
      <c r="Q907" s="49"/>
      <c r="R907" s="49"/>
      <c r="S907" s="49"/>
      <c r="T907" s="49"/>
      <c r="U907" s="49"/>
      <c r="V907" s="49"/>
      <c r="W907" s="49"/>
    </row>
    <row r="908" spans="1:23">
      <c r="A908" s="49"/>
      <c r="B908" s="49"/>
      <c r="C908" s="49"/>
      <c r="D908" s="49"/>
      <c r="E908" s="49"/>
      <c r="F908" s="49"/>
      <c r="G908" s="49"/>
      <c r="H908" s="49"/>
      <c r="I908" s="49"/>
      <c r="J908" s="49"/>
      <c r="K908" s="49"/>
      <c r="L908" s="49"/>
      <c r="M908" s="49"/>
      <c r="N908" s="49"/>
      <c r="O908" s="49"/>
      <c r="P908" s="49"/>
      <c r="Q908" s="49"/>
      <c r="R908" s="49"/>
      <c r="S908" s="49"/>
      <c r="T908" s="49"/>
      <c r="U908" s="49"/>
      <c r="V908" s="49"/>
      <c r="W908" s="49"/>
    </row>
    <row r="909" spans="1:23">
      <c r="A909" s="49"/>
      <c r="B909" s="49"/>
      <c r="C909" s="49"/>
      <c r="D909" s="49"/>
      <c r="E909" s="49"/>
      <c r="F909" s="49"/>
      <c r="G909" s="49"/>
      <c r="H909" s="49"/>
      <c r="I909" s="49"/>
      <c r="J909" s="49"/>
      <c r="K909" s="49"/>
      <c r="L909" s="49"/>
      <c r="M909" s="49"/>
      <c r="N909" s="49"/>
      <c r="O909" s="49"/>
      <c r="P909" s="49"/>
      <c r="Q909" s="49"/>
      <c r="R909" s="49"/>
      <c r="S909" s="49"/>
      <c r="T909" s="49"/>
      <c r="U909" s="49"/>
      <c r="V909" s="49"/>
      <c r="W909" s="49"/>
    </row>
    <row r="910" spans="1:23">
      <c r="A910" s="49"/>
      <c r="B910" s="49"/>
      <c r="C910" s="49"/>
      <c r="D910" s="49"/>
      <c r="E910" s="49"/>
      <c r="F910" s="49"/>
      <c r="G910" s="49"/>
      <c r="H910" s="49"/>
      <c r="I910" s="49"/>
      <c r="J910" s="49"/>
      <c r="K910" s="49"/>
      <c r="L910" s="49"/>
      <c r="M910" s="49"/>
      <c r="N910" s="49"/>
      <c r="O910" s="49"/>
      <c r="P910" s="49"/>
      <c r="Q910" s="49"/>
      <c r="R910" s="49"/>
      <c r="S910" s="49"/>
      <c r="T910" s="49"/>
      <c r="U910" s="49"/>
      <c r="V910" s="49"/>
      <c r="W910" s="49"/>
    </row>
    <row r="911" spans="1:23">
      <c r="A911" s="49"/>
      <c r="B911" s="49"/>
      <c r="C911" s="49"/>
      <c r="D911" s="49"/>
      <c r="E911" s="49"/>
      <c r="F911" s="49"/>
      <c r="G911" s="49"/>
      <c r="H911" s="49"/>
      <c r="I911" s="49"/>
      <c r="J911" s="49"/>
      <c r="K911" s="49"/>
      <c r="L911" s="49"/>
      <c r="M911" s="49"/>
      <c r="N911" s="49"/>
      <c r="O911" s="49"/>
      <c r="P911" s="49"/>
      <c r="Q911" s="49"/>
      <c r="R911" s="49"/>
      <c r="S911" s="49"/>
      <c r="T911" s="49"/>
      <c r="U911" s="49"/>
      <c r="V911" s="49"/>
      <c r="W911" s="49"/>
    </row>
    <row r="912" spans="1:23">
      <c r="A912" s="49"/>
      <c r="B912" s="49"/>
      <c r="C912" s="49"/>
      <c r="D912" s="49"/>
      <c r="E912" s="49"/>
      <c r="F912" s="49"/>
      <c r="G912" s="49"/>
      <c r="H912" s="49"/>
      <c r="I912" s="49"/>
      <c r="J912" s="49"/>
      <c r="K912" s="49"/>
      <c r="L912" s="49"/>
      <c r="M912" s="49"/>
      <c r="N912" s="49"/>
      <c r="O912" s="49"/>
      <c r="P912" s="49"/>
      <c r="Q912" s="49"/>
      <c r="R912" s="49"/>
      <c r="S912" s="49"/>
      <c r="T912" s="49"/>
      <c r="U912" s="49"/>
      <c r="V912" s="49"/>
      <c r="W912" s="49"/>
    </row>
    <row r="913" spans="1:23">
      <c r="A913" s="49"/>
      <c r="B913" s="49"/>
      <c r="C913" s="49"/>
      <c r="D913" s="49"/>
      <c r="E913" s="49"/>
      <c r="F913" s="49"/>
      <c r="G913" s="49"/>
      <c r="H913" s="49"/>
      <c r="I913" s="49"/>
      <c r="J913" s="49"/>
      <c r="K913" s="49"/>
      <c r="L913" s="49"/>
      <c r="M913" s="49"/>
      <c r="N913" s="49"/>
      <c r="O913" s="49"/>
      <c r="P913" s="49"/>
      <c r="Q913" s="49"/>
      <c r="R913" s="49"/>
      <c r="S913" s="49"/>
      <c r="T913" s="49"/>
      <c r="U913" s="49"/>
      <c r="V913" s="49"/>
      <c r="W913" s="49"/>
    </row>
    <row r="914" spans="1:23">
      <c r="A914" s="49"/>
      <c r="B914" s="49"/>
      <c r="C914" s="49"/>
      <c r="D914" s="49"/>
      <c r="E914" s="49"/>
      <c r="F914" s="49"/>
      <c r="G914" s="49"/>
      <c r="H914" s="49"/>
      <c r="I914" s="49"/>
      <c r="J914" s="49"/>
      <c r="K914" s="49"/>
      <c r="L914" s="49"/>
      <c r="M914" s="49"/>
      <c r="N914" s="49"/>
      <c r="O914" s="49"/>
      <c r="P914" s="49"/>
      <c r="Q914" s="49"/>
      <c r="R914" s="49"/>
      <c r="S914" s="49"/>
      <c r="T914" s="49"/>
      <c r="U914" s="49"/>
      <c r="V914" s="49"/>
      <c r="W914" s="49"/>
    </row>
    <row r="915" spans="1:23">
      <c r="A915" s="49"/>
      <c r="B915" s="49"/>
      <c r="C915" s="49"/>
      <c r="D915" s="49"/>
      <c r="E915" s="49"/>
      <c r="F915" s="49"/>
      <c r="G915" s="49"/>
      <c r="H915" s="49"/>
      <c r="I915" s="49"/>
      <c r="J915" s="49"/>
      <c r="K915" s="49"/>
      <c r="L915" s="49"/>
      <c r="M915" s="49"/>
      <c r="N915" s="49"/>
      <c r="O915" s="49"/>
      <c r="P915" s="49"/>
      <c r="Q915" s="49"/>
      <c r="R915" s="49"/>
      <c r="S915" s="49"/>
      <c r="T915" s="49"/>
      <c r="U915" s="49"/>
      <c r="V915" s="49"/>
      <c r="W915" s="49"/>
    </row>
    <row r="916" spans="1:23">
      <c r="A916" s="49"/>
      <c r="B916" s="49"/>
      <c r="C916" s="49"/>
      <c r="D916" s="49"/>
      <c r="E916" s="49"/>
      <c r="F916" s="49"/>
      <c r="G916" s="49"/>
      <c r="H916" s="49"/>
      <c r="I916" s="49"/>
      <c r="J916" s="49"/>
      <c r="K916" s="49"/>
      <c r="L916" s="49"/>
      <c r="M916" s="49"/>
      <c r="N916" s="49"/>
      <c r="O916" s="49"/>
      <c r="P916" s="49"/>
      <c r="Q916" s="49"/>
      <c r="R916" s="49"/>
      <c r="S916" s="49"/>
      <c r="T916" s="49"/>
      <c r="U916" s="49"/>
      <c r="V916" s="49"/>
      <c r="W916" s="49"/>
    </row>
    <row r="917" spans="1:23">
      <c r="A917" s="49"/>
      <c r="B917" s="49"/>
      <c r="C917" s="49"/>
      <c r="D917" s="49"/>
      <c r="E917" s="49"/>
      <c r="F917" s="49"/>
      <c r="G917" s="49"/>
      <c r="H917" s="49"/>
      <c r="I917" s="49"/>
      <c r="J917" s="49"/>
      <c r="K917" s="49"/>
      <c r="L917" s="49"/>
      <c r="M917" s="49"/>
      <c r="N917" s="49"/>
      <c r="O917" s="49"/>
      <c r="P917" s="49"/>
      <c r="Q917" s="49"/>
      <c r="R917" s="49"/>
      <c r="S917" s="49"/>
      <c r="T917" s="49"/>
      <c r="U917" s="49"/>
      <c r="V917" s="49"/>
      <c r="W917" s="49"/>
    </row>
    <row r="918" spans="1:23">
      <c r="A918" s="49"/>
      <c r="B918" s="49"/>
      <c r="C918" s="49"/>
      <c r="D918" s="49"/>
      <c r="E918" s="49"/>
      <c r="F918" s="49"/>
      <c r="G918" s="49"/>
      <c r="H918" s="49"/>
      <c r="I918" s="49"/>
      <c r="J918" s="49"/>
      <c r="K918" s="49"/>
      <c r="L918" s="49"/>
      <c r="M918" s="49"/>
      <c r="N918" s="49"/>
      <c r="O918" s="49"/>
      <c r="P918" s="49"/>
      <c r="Q918" s="49"/>
      <c r="R918" s="49"/>
      <c r="S918" s="49"/>
      <c r="T918" s="49"/>
      <c r="U918" s="49"/>
      <c r="V918" s="49"/>
      <c r="W918" s="49"/>
    </row>
    <row r="919" spans="1:23">
      <c r="A919" s="49"/>
      <c r="B919" s="49"/>
      <c r="C919" s="49"/>
      <c r="D919" s="49"/>
      <c r="E919" s="49"/>
      <c r="F919" s="49"/>
      <c r="G919" s="49"/>
      <c r="H919" s="49"/>
      <c r="I919" s="49"/>
      <c r="J919" s="49"/>
      <c r="K919" s="49"/>
      <c r="L919" s="49"/>
      <c r="M919" s="49"/>
      <c r="N919" s="49"/>
      <c r="O919" s="49"/>
      <c r="P919" s="49"/>
      <c r="Q919" s="49"/>
      <c r="R919" s="49"/>
      <c r="S919" s="49"/>
      <c r="T919" s="49"/>
      <c r="U919" s="49"/>
      <c r="V919" s="49"/>
      <c r="W919" s="49"/>
    </row>
    <row r="920" spans="1:23">
      <c r="A920" s="49"/>
      <c r="B920" s="49"/>
      <c r="C920" s="49"/>
      <c r="D920" s="49"/>
      <c r="E920" s="49"/>
      <c r="F920" s="49"/>
      <c r="G920" s="49"/>
      <c r="H920" s="49"/>
      <c r="I920" s="49"/>
      <c r="J920" s="49"/>
      <c r="K920" s="49"/>
      <c r="L920" s="49"/>
      <c r="M920" s="49"/>
      <c r="N920" s="49"/>
      <c r="O920" s="49"/>
      <c r="P920" s="49"/>
      <c r="Q920" s="49"/>
      <c r="R920" s="49"/>
      <c r="S920" s="49"/>
      <c r="T920" s="49"/>
      <c r="U920" s="49"/>
      <c r="V920" s="49"/>
      <c r="W920" s="49"/>
    </row>
    <row r="921" spans="1:23">
      <c r="A921" s="49"/>
      <c r="B921" s="49"/>
      <c r="C921" s="49"/>
      <c r="D921" s="49"/>
      <c r="E921" s="49"/>
      <c r="F921" s="49"/>
      <c r="G921" s="49"/>
      <c r="H921" s="49"/>
      <c r="I921" s="49"/>
      <c r="J921" s="49"/>
      <c r="K921" s="49"/>
      <c r="L921" s="49"/>
      <c r="M921" s="49"/>
      <c r="N921" s="49"/>
      <c r="O921" s="49"/>
      <c r="P921" s="49"/>
      <c r="Q921" s="49"/>
      <c r="R921" s="49"/>
      <c r="S921" s="49"/>
      <c r="T921" s="49"/>
      <c r="U921" s="49"/>
      <c r="V921" s="49"/>
      <c r="W921" s="49"/>
    </row>
    <row r="922" spans="1:23">
      <c r="A922" s="49"/>
      <c r="B922" s="49"/>
      <c r="C922" s="49"/>
      <c r="D922" s="49"/>
      <c r="E922" s="49"/>
      <c r="F922" s="49"/>
      <c r="G922" s="49"/>
      <c r="H922" s="49"/>
      <c r="I922" s="49"/>
      <c r="J922" s="49"/>
      <c r="K922" s="49"/>
      <c r="L922" s="49"/>
      <c r="M922" s="49"/>
      <c r="N922" s="49"/>
      <c r="O922" s="49"/>
      <c r="P922" s="49"/>
      <c r="Q922" s="49"/>
      <c r="R922" s="49"/>
      <c r="S922" s="49"/>
      <c r="T922" s="49"/>
      <c r="U922" s="49"/>
      <c r="V922" s="49"/>
      <c r="W922" s="49"/>
    </row>
    <row r="923" spans="1:23">
      <c r="A923" s="49"/>
      <c r="B923" s="49"/>
      <c r="C923" s="49"/>
      <c r="D923" s="49"/>
      <c r="E923" s="49"/>
      <c r="F923" s="49"/>
      <c r="G923" s="49"/>
      <c r="H923" s="49"/>
      <c r="I923" s="49"/>
      <c r="J923" s="49"/>
      <c r="K923" s="49"/>
      <c r="L923" s="49"/>
      <c r="M923" s="49"/>
      <c r="N923" s="49"/>
      <c r="O923" s="49"/>
      <c r="P923" s="49"/>
      <c r="Q923" s="49"/>
      <c r="R923" s="49"/>
      <c r="S923" s="49"/>
      <c r="T923" s="49"/>
      <c r="U923" s="49"/>
      <c r="V923" s="49"/>
      <c r="W923" s="49"/>
    </row>
    <row r="924" spans="1:23">
      <c r="A924" s="49"/>
      <c r="B924" s="49"/>
      <c r="C924" s="49"/>
      <c r="D924" s="49"/>
      <c r="E924" s="49"/>
      <c r="F924" s="49"/>
      <c r="G924" s="49"/>
      <c r="H924" s="49"/>
      <c r="I924" s="49"/>
      <c r="J924" s="49"/>
      <c r="K924" s="49"/>
      <c r="L924" s="49"/>
      <c r="M924" s="49"/>
      <c r="N924" s="49"/>
      <c r="O924" s="49"/>
      <c r="P924" s="49"/>
      <c r="Q924" s="49"/>
      <c r="R924" s="49"/>
      <c r="S924" s="49"/>
      <c r="T924" s="49"/>
      <c r="U924" s="49"/>
      <c r="V924" s="49"/>
      <c r="W924" s="49"/>
    </row>
    <row r="925" spans="1:23">
      <c r="A925" s="49"/>
      <c r="B925" s="49"/>
      <c r="C925" s="49"/>
      <c r="D925" s="49"/>
      <c r="E925" s="49"/>
      <c r="F925" s="49"/>
      <c r="G925" s="49"/>
      <c r="H925" s="49"/>
      <c r="I925" s="49"/>
      <c r="J925" s="49"/>
      <c r="K925" s="49"/>
      <c r="L925" s="49"/>
      <c r="M925" s="49"/>
      <c r="N925" s="49"/>
      <c r="O925" s="49"/>
      <c r="P925" s="49"/>
      <c r="Q925" s="49"/>
      <c r="R925" s="49"/>
      <c r="S925" s="49"/>
      <c r="T925" s="49"/>
      <c r="U925" s="49"/>
      <c r="V925" s="49"/>
      <c r="W925" s="49"/>
    </row>
    <row r="926" spans="1:23">
      <c r="A926" s="49"/>
      <c r="B926" s="49"/>
      <c r="C926" s="49"/>
      <c r="D926" s="49"/>
      <c r="E926" s="49"/>
      <c r="F926" s="49"/>
      <c r="G926" s="49"/>
      <c r="H926" s="49"/>
      <c r="I926" s="49"/>
      <c r="J926" s="49"/>
      <c r="K926" s="49"/>
      <c r="L926" s="49"/>
      <c r="M926" s="49"/>
      <c r="N926" s="49"/>
      <c r="O926" s="49"/>
      <c r="P926" s="49"/>
      <c r="Q926" s="49"/>
      <c r="R926" s="49"/>
      <c r="S926" s="49"/>
      <c r="T926" s="49"/>
      <c r="U926" s="49"/>
      <c r="V926" s="49"/>
      <c r="W926" s="49"/>
    </row>
    <row r="927" spans="1:23">
      <c r="A927" s="49"/>
      <c r="B927" s="49"/>
      <c r="C927" s="49"/>
      <c r="D927" s="49"/>
      <c r="E927" s="49"/>
      <c r="F927" s="49"/>
      <c r="G927" s="49"/>
      <c r="H927" s="49"/>
      <c r="I927" s="49"/>
      <c r="J927" s="49"/>
      <c r="K927" s="49"/>
      <c r="L927" s="49"/>
      <c r="M927" s="49"/>
      <c r="N927" s="49"/>
      <c r="O927" s="49"/>
      <c r="P927" s="49"/>
      <c r="Q927" s="49"/>
      <c r="R927" s="49"/>
      <c r="S927" s="49"/>
      <c r="T927" s="49"/>
      <c r="U927" s="49"/>
      <c r="V927" s="49"/>
      <c r="W927" s="49"/>
    </row>
    <row r="928" spans="1:23">
      <c r="A928" s="49"/>
      <c r="B928" s="49"/>
      <c r="C928" s="49"/>
      <c r="D928" s="49"/>
      <c r="E928" s="49"/>
      <c r="F928" s="49"/>
      <c r="G928" s="49"/>
      <c r="H928" s="49"/>
      <c r="I928" s="49"/>
      <c r="J928" s="49"/>
      <c r="K928" s="49"/>
      <c r="L928" s="49"/>
      <c r="M928" s="49"/>
      <c r="N928" s="49"/>
      <c r="O928" s="49"/>
      <c r="P928" s="49"/>
      <c r="Q928" s="49"/>
      <c r="R928" s="49"/>
      <c r="S928" s="49"/>
      <c r="T928" s="49"/>
      <c r="U928" s="49"/>
      <c r="V928" s="49"/>
      <c r="W928" s="49"/>
    </row>
    <row r="929" spans="1:23">
      <c r="A929" s="49"/>
      <c r="B929" s="49"/>
      <c r="C929" s="49"/>
      <c r="D929" s="49"/>
      <c r="E929" s="49"/>
      <c r="F929" s="49"/>
      <c r="G929" s="49"/>
      <c r="H929" s="49"/>
      <c r="I929" s="49"/>
      <c r="J929" s="49"/>
      <c r="K929" s="49"/>
      <c r="L929" s="49"/>
      <c r="M929" s="49"/>
      <c r="N929" s="49"/>
      <c r="O929" s="49"/>
      <c r="P929" s="49"/>
      <c r="Q929" s="49"/>
      <c r="R929" s="49"/>
      <c r="S929" s="49"/>
      <c r="T929" s="49"/>
      <c r="U929" s="49"/>
      <c r="V929" s="49"/>
      <c r="W929" s="49"/>
    </row>
    <row r="930" spans="1:23">
      <c r="A930" s="49"/>
      <c r="B930" s="49"/>
      <c r="C930" s="49"/>
      <c r="D930" s="49"/>
      <c r="E930" s="49"/>
      <c r="F930" s="49"/>
      <c r="G930" s="49"/>
      <c r="H930" s="49"/>
      <c r="I930" s="49"/>
      <c r="J930" s="49"/>
      <c r="K930" s="49"/>
      <c r="L930" s="49"/>
      <c r="M930" s="49"/>
      <c r="N930" s="49"/>
      <c r="O930" s="49"/>
      <c r="P930" s="49"/>
      <c r="Q930" s="49"/>
      <c r="R930" s="49"/>
      <c r="S930" s="49"/>
      <c r="T930" s="49"/>
      <c r="U930" s="49"/>
      <c r="V930" s="49"/>
      <c r="W930" s="49"/>
    </row>
    <row r="931" spans="1:23">
      <c r="A931" s="49"/>
      <c r="B931" s="49"/>
      <c r="C931" s="49"/>
      <c r="D931" s="49"/>
      <c r="E931" s="49"/>
      <c r="F931" s="49"/>
      <c r="G931" s="49"/>
      <c r="H931" s="49"/>
      <c r="I931" s="49"/>
      <c r="J931" s="49"/>
      <c r="K931" s="49"/>
      <c r="L931" s="49"/>
      <c r="M931" s="49"/>
      <c r="N931" s="49"/>
      <c r="O931" s="49"/>
      <c r="P931" s="49"/>
      <c r="Q931" s="49"/>
      <c r="R931" s="49"/>
      <c r="S931" s="49"/>
      <c r="T931" s="49"/>
      <c r="U931" s="49"/>
      <c r="V931" s="49"/>
      <c r="W931" s="49"/>
    </row>
    <row r="932" spans="1:23">
      <c r="A932" s="49"/>
      <c r="B932" s="49"/>
      <c r="C932" s="49"/>
      <c r="D932" s="49"/>
      <c r="E932" s="49"/>
      <c r="F932" s="49"/>
      <c r="G932" s="49"/>
      <c r="H932" s="49"/>
      <c r="I932" s="49"/>
      <c r="J932" s="49"/>
      <c r="K932" s="49"/>
      <c r="L932" s="49"/>
      <c r="M932" s="49"/>
      <c r="N932" s="49"/>
      <c r="O932" s="49"/>
      <c r="P932" s="49"/>
      <c r="Q932" s="49"/>
      <c r="R932" s="49"/>
      <c r="S932" s="49"/>
      <c r="T932" s="49"/>
      <c r="U932" s="49"/>
      <c r="V932" s="49"/>
      <c r="W932" s="49"/>
    </row>
    <row r="933" spans="1:23">
      <c r="A933" s="49"/>
      <c r="B933" s="49"/>
      <c r="C933" s="49"/>
      <c r="D933" s="49"/>
      <c r="E933" s="49"/>
      <c r="F933" s="49"/>
      <c r="G933" s="49"/>
      <c r="H933" s="49"/>
      <c r="I933" s="49"/>
      <c r="J933" s="49"/>
      <c r="K933" s="49"/>
      <c r="L933" s="49"/>
      <c r="M933" s="49"/>
      <c r="N933" s="49"/>
      <c r="O933" s="49"/>
      <c r="P933" s="49"/>
      <c r="Q933" s="49"/>
      <c r="R933" s="49"/>
      <c r="S933" s="49"/>
      <c r="T933" s="49"/>
      <c r="U933" s="49"/>
      <c r="V933" s="49"/>
      <c r="W933" s="49"/>
    </row>
    <row r="934" spans="1:23">
      <c r="A934" s="49"/>
      <c r="B934" s="49"/>
      <c r="C934" s="49"/>
      <c r="D934" s="49"/>
      <c r="E934" s="49"/>
      <c r="F934" s="49"/>
      <c r="G934" s="49"/>
      <c r="H934" s="49"/>
      <c r="I934" s="49"/>
      <c r="J934" s="49"/>
      <c r="K934" s="49"/>
      <c r="L934" s="49"/>
      <c r="M934" s="49"/>
      <c r="N934" s="49"/>
      <c r="O934" s="49"/>
      <c r="P934" s="49"/>
      <c r="Q934" s="49"/>
      <c r="R934" s="49"/>
      <c r="S934" s="49"/>
      <c r="T934" s="49"/>
      <c r="U934" s="49"/>
      <c r="V934" s="49"/>
      <c r="W934" s="49"/>
    </row>
    <row r="935" spans="1:23">
      <c r="A935" s="49"/>
      <c r="B935" s="49"/>
      <c r="C935" s="49"/>
      <c r="D935" s="49"/>
      <c r="E935" s="49"/>
      <c r="F935" s="49"/>
      <c r="G935" s="49"/>
      <c r="H935" s="49"/>
      <c r="I935" s="49"/>
      <c r="J935" s="49"/>
      <c r="K935" s="49"/>
      <c r="L935" s="49"/>
      <c r="M935" s="49"/>
      <c r="N935" s="49"/>
      <c r="O935" s="49"/>
      <c r="P935" s="49"/>
      <c r="Q935" s="49"/>
      <c r="R935" s="49"/>
      <c r="S935" s="49"/>
      <c r="T935" s="49"/>
      <c r="U935" s="49"/>
      <c r="V935" s="49"/>
      <c r="W935" s="49"/>
    </row>
    <row r="936" spans="1:23">
      <c r="A936" s="49"/>
      <c r="B936" s="49"/>
      <c r="C936" s="49"/>
      <c r="D936" s="49"/>
      <c r="E936" s="49"/>
      <c r="F936" s="49"/>
      <c r="G936" s="49"/>
      <c r="H936" s="49"/>
      <c r="I936" s="49"/>
      <c r="J936" s="49"/>
      <c r="K936" s="49"/>
      <c r="L936" s="49"/>
      <c r="M936" s="49"/>
      <c r="N936" s="49"/>
      <c r="O936" s="49"/>
      <c r="P936" s="49"/>
      <c r="Q936" s="49"/>
      <c r="R936" s="49"/>
      <c r="S936" s="49"/>
      <c r="T936" s="49"/>
      <c r="U936" s="49"/>
      <c r="V936" s="49"/>
      <c r="W936" s="49"/>
    </row>
    <row r="937" spans="1:23">
      <c r="A937" s="49"/>
      <c r="B937" s="49"/>
      <c r="C937" s="49"/>
      <c r="D937" s="49"/>
      <c r="E937" s="49"/>
      <c r="F937" s="49"/>
      <c r="G937" s="49"/>
      <c r="H937" s="49"/>
      <c r="I937" s="49"/>
      <c r="J937" s="49"/>
      <c r="K937" s="49"/>
      <c r="L937" s="49"/>
      <c r="M937" s="49"/>
      <c r="N937" s="49"/>
      <c r="O937" s="49"/>
      <c r="P937" s="49"/>
      <c r="Q937" s="49"/>
      <c r="R937" s="49"/>
      <c r="S937" s="49"/>
      <c r="T937" s="49"/>
      <c r="U937" s="49"/>
      <c r="V937" s="49"/>
      <c r="W937" s="49"/>
    </row>
    <row r="938" spans="1:23">
      <c r="A938" s="49"/>
      <c r="B938" s="49"/>
      <c r="C938" s="49"/>
      <c r="D938" s="49"/>
      <c r="E938" s="49"/>
      <c r="F938" s="49"/>
      <c r="G938" s="49"/>
      <c r="H938" s="49"/>
      <c r="I938" s="49"/>
      <c r="J938" s="49"/>
      <c r="K938" s="49"/>
      <c r="L938" s="49"/>
      <c r="M938" s="49"/>
      <c r="N938" s="49"/>
      <c r="O938" s="49"/>
      <c r="P938" s="49"/>
      <c r="Q938" s="49"/>
      <c r="R938" s="49"/>
      <c r="S938" s="49"/>
      <c r="T938" s="49"/>
      <c r="U938" s="49"/>
      <c r="V938" s="49"/>
      <c r="W938" s="49"/>
    </row>
    <row r="939" spans="1:23">
      <c r="A939" s="49"/>
      <c r="B939" s="49"/>
      <c r="C939" s="49"/>
      <c r="D939" s="49"/>
      <c r="E939" s="49"/>
      <c r="F939" s="49"/>
      <c r="G939" s="49"/>
      <c r="H939" s="49"/>
      <c r="I939" s="49"/>
      <c r="J939" s="49"/>
      <c r="K939" s="49"/>
      <c r="L939" s="49"/>
      <c r="M939" s="49"/>
      <c r="N939" s="49"/>
      <c r="O939" s="49"/>
      <c r="P939" s="49"/>
      <c r="Q939" s="49"/>
      <c r="R939" s="49"/>
      <c r="S939" s="49"/>
      <c r="T939" s="49"/>
      <c r="U939" s="49"/>
      <c r="V939" s="49"/>
      <c r="W939" s="49"/>
    </row>
    <row r="940" spans="1:23">
      <c r="A940" s="49"/>
      <c r="B940" s="49"/>
      <c r="C940" s="49"/>
      <c r="D940" s="49"/>
      <c r="E940" s="49"/>
      <c r="F940" s="49"/>
      <c r="G940" s="49"/>
      <c r="H940" s="49"/>
      <c r="I940" s="49"/>
      <c r="J940" s="49"/>
      <c r="K940" s="49"/>
      <c r="L940" s="49"/>
      <c r="M940" s="49"/>
      <c r="N940" s="49"/>
      <c r="O940" s="49"/>
      <c r="P940" s="49"/>
      <c r="Q940" s="49"/>
      <c r="R940" s="49"/>
      <c r="S940" s="49"/>
      <c r="T940" s="49"/>
      <c r="U940" s="49"/>
      <c r="V940" s="49"/>
      <c r="W940" s="49"/>
    </row>
    <row r="941" spans="1:23">
      <c r="A941" s="49"/>
      <c r="B941" s="49"/>
      <c r="C941" s="49"/>
      <c r="D941" s="49"/>
      <c r="E941" s="49"/>
      <c r="F941" s="49"/>
      <c r="G941" s="49"/>
      <c r="H941" s="49"/>
      <c r="I941" s="49"/>
      <c r="J941" s="49"/>
      <c r="K941" s="49"/>
      <c r="L941" s="49"/>
      <c r="M941" s="49"/>
      <c r="N941" s="49"/>
      <c r="O941" s="49"/>
      <c r="P941" s="49"/>
      <c r="Q941" s="49"/>
      <c r="R941" s="49"/>
      <c r="S941" s="49"/>
      <c r="T941" s="49"/>
      <c r="U941" s="49"/>
      <c r="V941" s="49"/>
      <c r="W941" s="49"/>
    </row>
    <row r="942" spans="1:23">
      <c r="A942" s="49"/>
      <c r="B942" s="49"/>
      <c r="C942" s="49"/>
      <c r="D942" s="49"/>
      <c r="E942" s="49"/>
      <c r="F942" s="49"/>
      <c r="G942" s="49"/>
      <c r="H942" s="49"/>
      <c r="I942" s="49"/>
      <c r="J942" s="49"/>
      <c r="K942" s="49"/>
      <c r="L942" s="49"/>
      <c r="M942" s="49"/>
      <c r="N942" s="49"/>
      <c r="O942" s="49"/>
      <c r="P942" s="49"/>
      <c r="Q942" s="49"/>
      <c r="R942" s="49"/>
      <c r="S942" s="49"/>
      <c r="T942" s="49"/>
      <c r="U942" s="49"/>
      <c r="V942" s="49"/>
      <c r="W942" s="49"/>
    </row>
    <row r="943" spans="1:23">
      <c r="A943" s="49"/>
      <c r="B943" s="49"/>
      <c r="C943" s="49"/>
      <c r="D943" s="49"/>
      <c r="E943" s="49"/>
      <c r="F943" s="49"/>
      <c r="G943" s="49"/>
      <c r="H943" s="49"/>
      <c r="I943" s="49"/>
      <c r="J943" s="49"/>
      <c r="K943" s="49"/>
      <c r="L943" s="49"/>
      <c r="M943" s="49"/>
      <c r="N943" s="49"/>
      <c r="O943" s="49"/>
      <c r="P943" s="49"/>
      <c r="Q943" s="49"/>
      <c r="R943" s="49"/>
      <c r="S943" s="49"/>
      <c r="T943" s="49"/>
      <c r="U943" s="49"/>
      <c r="V943" s="49"/>
      <c r="W943" s="49"/>
    </row>
    <row r="944" spans="1:23">
      <c r="A944" s="49"/>
      <c r="B944" s="49"/>
      <c r="C944" s="49"/>
      <c r="D944" s="49"/>
      <c r="E944" s="49"/>
      <c r="F944" s="49"/>
      <c r="G944" s="49"/>
      <c r="H944" s="49"/>
      <c r="I944" s="49"/>
      <c r="J944" s="49"/>
      <c r="K944" s="49"/>
      <c r="L944" s="49"/>
      <c r="M944" s="49"/>
      <c r="N944" s="49"/>
      <c r="O944" s="49"/>
      <c r="P944" s="49"/>
      <c r="Q944" s="49"/>
      <c r="R944" s="49"/>
      <c r="S944" s="49"/>
      <c r="T944" s="49"/>
      <c r="U944" s="49"/>
      <c r="V944" s="49"/>
      <c r="W944" s="49"/>
    </row>
    <row r="945" spans="1:23">
      <c r="A945" s="49"/>
      <c r="B945" s="49"/>
      <c r="C945" s="49"/>
      <c r="D945" s="49"/>
      <c r="E945" s="49"/>
      <c r="F945" s="49"/>
      <c r="G945" s="49"/>
      <c r="H945" s="49"/>
      <c r="I945" s="49"/>
      <c r="J945" s="49"/>
      <c r="K945" s="49"/>
      <c r="L945" s="49"/>
      <c r="M945" s="49"/>
      <c r="N945" s="49"/>
      <c r="O945" s="49"/>
      <c r="P945" s="49"/>
      <c r="Q945" s="49"/>
      <c r="R945" s="49"/>
      <c r="S945" s="49"/>
      <c r="T945" s="49"/>
      <c r="U945" s="49"/>
      <c r="V945" s="49"/>
      <c r="W945" s="49"/>
    </row>
    <row r="946" spans="1:23">
      <c r="A946" s="49"/>
      <c r="B946" s="49"/>
      <c r="C946" s="49"/>
      <c r="D946" s="49"/>
      <c r="E946" s="49"/>
      <c r="F946" s="49"/>
      <c r="G946" s="49"/>
      <c r="H946" s="49"/>
      <c r="I946" s="49"/>
      <c r="J946" s="49"/>
      <c r="K946" s="49"/>
      <c r="L946" s="49"/>
      <c r="M946" s="49"/>
      <c r="N946" s="49"/>
      <c r="O946" s="49"/>
      <c r="P946" s="49"/>
      <c r="Q946" s="49"/>
      <c r="R946" s="49"/>
      <c r="S946" s="49"/>
      <c r="T946" s="49"/>
      <c r="U946" s="49"/>
      <c r="V946" s="49"/>
      <c r="W946" s="49"/>
    </row>
    <row r="947" spans="1:23">
      <c r="A947" s="49"/>
      <c r="B947" s="49"/>
      <c r="C947" s="49"/>
      <c r="D947" s="49"/>
      <c r="E947" s="49"/>
      <c r="F947" s="49"/>
      <c r="G947" s="49"/>
      <c r="H947" s="49"/>
      <c r="I947" s="49"/>
      <c r="J947" s="49"/>
      <c r="K947" s="49"/>
      <c r="L947" s="49"/>
      <c r="M947" s="49"/>
      <c r="N947" s="49"/>
      <c r="O947" s="49"/>
      <c r="P947" s="49"/>
      <c r="Q947" s="49"/>
      <c r="R947" s="49"/>
      <c r="S947" s="49"/>
      <c r="T947" s="49"/>
      <c r="U947" s="49"/>
      <c r="V947" s="49"/>
      <c r="W947" s="49"/>
    </row>
    <row r="948" spans="1:23">
      <c r="A948" s="49"/>
      <c r="B948" s="49"/>
      <c r="C948" s="49"/>
      <c r="D948" s="49"/>
      <c r="E948" s="49"/>
      <c r="F948" s="49"/>
      <c r="G948" s="49"/>
      <c r="H948" s="49"/>
      <c r="I948" s="49"/>
      <c r="J948" s="49"/>
      <c r="K948" s="49"/>
      <c r="L948" s="49"/>
      <c r="M948" s="49"/>
      <c r="N948" s="49"/>
      <c r="O948" s="49"/>
      <c r="P948" s="49"/>
      <c r="Q948" s="49"/>
      <c r="R948" s="49"/>
      <c r="S948" s="49"/>
      <c r="T948" s="49"/>
      <c r="U948" s="49"/>
      <c r="V948" s="49"/>
      <c r="W948" s="49"/>
    </row>
  </sheetData>
  <hyperlinks>
    <hyperlink ref="A2" location="CHARTS!A38" display="1)" xr:uid="{00000000-0004-0000-0C00-000000000000}"/>
    <hyperlink ref="A3" location="Charts!L119" display="2)" xr:uid="{00000000-0004-0000-0C00-000001000000}"/>
    <hyperlink ref="A4" location="Charts!A300" display="3)" xr:uid="{00000000-0004-0000-0C00-000002000000}"/>
    <hyperlink ref="A5" location="Charts!A440" display="4)" xr:uid="{00000000-0004-0000-0C00-000003000000}"/>
  </hyperlinks>
  <pageMargins left="0.7" right="0.7" top="0.75" bottom="0.75" header="0.3" footer="0.3"/>
  <pageSetup scale="21" orientation="portrait" r:id="rId1"/>
  <rowBreaks count="3" manualBreakCount="3">
    <brk id="98" max="20" man="1"/>
    <brk id="220" max="20" man="1"/>
    <brk id="340" max="2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9D8CEF0-1A0C-4024-A2C6-4CEABCC19887}">
          <x14:formula1>
            <xm:f>Dates!$A$2:$A$113</xm:f>
          </x14:formula1>
          <xm:sqref>G3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B41DD-B1CD-44CD-821D-3A95760412B4}">
  <dimension ref="A1:AN139"/>
  <sheetViews>
    <sheetView zoomScale="85" zoomScaleNormal="85" workbookViewId="0">
      <pane xSplit="2" ySplit="3" topLeftCell="W4" activePane="bottomRight" state="frozen"/>
      <selection pane="topRight" activeCell="C1" sqref="C1"/>
      <selection pane="bottomLeft" activeCell="A4" sqref="A4"/>
      <selection pane="bottomRight" activeCell="Z2" sqref="Z2"/>
    </sheetView>
  </sheetViews>
  <sheetFormatPr defaultColWidth="8.76171875" defaultRowHeight="14.35"/>
  <cols>
    <col min="1" max="1" width="3.76171875" style="537" customWidth="1"/>
    <col min="2" max="2" width="32.234375" style="537" customWidth="1"/>
    <col min="3" max="24" width="12" style="537" bestFit="1" customWidth="1"/>
    <col min="25" max="26" width="12" style="537" customWidth="1"/>
    <col min="27" max="29" width="9.234375" style="537" bestFit="1" customWidth="1"/>
    <col min="30" max="31" width="8.76171875" style="537"/>
    <col min="32" max="32" width="12.76171875" style="537" customWidth="1"/>
    <col min="33" max="33" width="8.76171875" style="537"/>
    <col min="34" max="34" width="9.76171875" style="537" bestFit="1" customWidth="1"/>
    <col min="35" max="37" width="8.76171875" style="537"/>
    <col min="38" max="39" width="10.234375" style="537" bestFit="1" customWidth="1"/>
    <col min="40" max="16384" width="8.76171875" style="537"/>
  </cols>
  <sheetData>
    <row r="1" spans="1:39" s="501" customFormat="1">
      <c r="B1" s="502" t="s">
        <v>847</v>
      </c>
      <c r="Y1" s="501" t="s">
        <v>884</v>
      </c>
      <c r="Z1" s="501" t="s">
        <v>884</v>
      </c>
      <c r="AA1" s="502" t="s">
        <v>882</v>
      </c>
      <c r="AB1" s="502" t="s">
        <v>882</v>
      </c>
      <c r="AC1" s="502" t="s">
        <v>882</v>
      </c>
      <c r="AD1" s="502"/>
      <c r="AE1" s="502"/>
      <c r="AF1" s="502" t="s">
        <v>794</v>
      </c>
    </row>
    <row r="2" spans="1:39" s="501" customFormat="1">
      <c r="B2" s="502" t="s">
        <v>831</v>
      </c>
      <c r="C2" s="503" t="str">
        <f>'Revenue, EBITDA, capex breakout'!AH1</f>
        <v>1Q20</v>
      </c>
      <c r="D2" s="503" t="str">
        <f>'Revenue, EBITDA, capex breakout'!AI1</f>
        <v>2Q20</v>
      </c>
      <c r="E2" s="503" t="str">
        <f>'Revenue, EBITDA, capex breakout'!AJ1</f>
        <v>3Q20</v>
      </c>
      <c r="F2" s="503" t="str">
        <f>'Revenue, EBITDA, capex breakout'!AK1</f>
        <v>4Q20</v>
      </c>
      <c r="G2" s="503" t="str">
        <f>'Revenue, EBITDA, capex breakout'!AL1</f>
        <v>1Q21</v>
      </c>
      <c r="H2" s="503" t="str">
        <f>'Revenue, EBITDA, capex breakout'!AM1</f>
        <v>2Q21</v>
      </c>
      <c r="I2" s="503" t="str">
        <f>'Revenue, EBITDA, capex breakout'!AN1</f>
        <v>3Q21</v>
      </c>
      <c r="J2" s="503" t="str">
        <f>'Revenue, EBITDA, capex breakout'!AO1</f>
        <v>4Q21</v>
      </c>
      <c r="K2" s="503" t="str">
        <f>'Revenue, EBITDA, capex breakout'!AP1</f>
        <v>1Q22</v>
      </c>
      <c r="L2" s="503" t="str">
        <f>'Revenue, EBITDA, capex breakout'!AQ1</f>
        <v>2Q22</v>
      </c>
      <c r="M2" s="503" t="str">
        <f>'Revenue, EBITDA, capex breakout'!AR1</f>
        <v>3Q22</v>
      </c>
      <c r="N2" s="503" t="str">
        <f>'Revenue, EBITDA, capex breakout'!AS1</f>
        <v>4Q22</v>
      </c>
      <c r="O2" s="503" t="str">
        <f>'Revenue, EBITDA, capex breakout'!AT1</f>
        <v>1Q23</v>
      </c>
      <c r="P2" s="503" t="str">
        <f>'Revenue, EBITDA, capex breakout'!AU1</f>
        <v>2Q23</v>
      </c>
      <c r="Q2" s="503" t="str">
        <f>'Revenue, EBITDA, capex breakout'!AV1</f>
        <v>3Q23</v>
      </c>
      <c r="R2" s="503" t="str">
        <f>'Revenue, EBITDA, capex breakout'!AW1</f>
        <v>4Q23</v>
      </c>
      <c r="S2" s="503" t="str">
        <f>'Revenue, EBITDA, capex breakout'!AX1</f>
        <v>1Q24</v>
      </c>
      <c r="T2" s="503" t="str">
        <f>'Revenue, EBITDA, capex breakout'!AY1</f>
        <v>2Q24</v>
      </c>
      <c r="U2" s="503" t="str">
        <f>'Revenue, EBITDA, capex breakout'!AZ1</f>
        <v>3Q24</v>
      </c>
      <c r="V2" s="503" t="str">
        <f>'Revenue, EBITDA, capex breakout'!BA1</f>
        <v>4Q24</v>
      </c>
      <c r="W2" s="503" t="str">
        <f>'Revenue, EBITDA, capex breakout'!BB1</f>
        <v>1Q25</v>
      </c>
      <c r="X2" s="503" t="str">
        <f>'Revenue, EBITDA, capex breakout'!BC1</f>
        <v>2Q25</v>
      </c>
      <c r="Y2" s="503"/>
      <c r="Z2" s="503"/>
      <c r="AA2" s="503" t="str">
        <f>INDEX(A$2:Y$3,1, MATCH(AA$3,A$3:Y$3,0))</f>
        <v>2Q24</v>
      </c>
      <c r="AB2" s="503" t="str">
        <f>INDEX(B$2:Y$3,1, MATCH(AB$3,B$3:Y$3,0))</f>
        <v>1Q25</v>
      </c>
      <c r="AC2" s="503" t="str">
        <f>INDEX(C$2:Y$3,1, MATCH(AC$3,C$3:Y$3,0))</f>
        <v>2Q25</v>
      </c>
      <c r="AD2" s="503" t="s">
        <v>883</v>
      </c>
      <c r="AE2" s="503" t="s">
        <v>850</v>
      </c>
      <c r="AL2" s="502" t="s">
        <v>857</v>
      </c>
      <c r="AM2" s="502" t="s">
        <v>858</v>
      </c>
    </row>
    <row r="3" spans="1:39" s="501" customFormat="1">
      <c r="B3" s="502"/>
      <c r="C3" s="504">
        <f>'Revenue, EBITDA, capex breakout'!AH2</f>
        <v>43646</v>
      </c>
      <c r="D3" s="504">
        <f>'Revenue, EBITDA, capex breakout'!AI2</f>
        <v>43738</v>
      </c>
      <c r="E3" s="504">
        <f>'Revenue, EBITDA, capex breakout'!AJ2</f>
        <v>43830</v>
      </c>
      <c r="F3" s="504">
        <f>'Revenue, EBITDA, capex breakout'!AK2</f>
        <v>43921</v>
      </c>
      <c r="G3" s="504">
        <f>'Revenue, EBITDA, capex breakout'!AL2</f>
        <v>44012</v>
      </c>
      <c r="H3" s="504">
        <f>'Revenue, EBITDA, capex breakout'!AM2</f>
        <v>44104</v>
      </c>
      <c r="I3" s="504">
        <f>'Revenue, EBITDA, capex breakout'!AN2</f>
        <v>44196</v>
      </c>
      <c r="J3" s="504">
        <f>'Revenue, EBITDA, capex breakout'!AO2</f>
        <v>44286</v>
      </c>
      <c r="K3" s="504">
        <f>'Revenue, EBITDA, capex breakout'!AP2</f>
        <v>44377</v>
      </c>
      <c r="L3" s="504">
        <f>'Revenue, EBITDA, capex breakout'!AQ2</f>
        <v>44469</v>
      </c>
      <c r="M3" s="504">
        <f>'Revenue, EBITDA, capex breakout'!AR2</f>
        <v>44561</v>
      </c>
      <c r="N3" s="504">
        <f>'Revenue, EBITDA, capex breakout'!AS2</f>
        <v>44651</v>
      </c>
      <c r="O3" s="504">
        <f>'Revenue, EBITDA, capex breakout'!AT2</f>
        <v>44742</v>
      </c>
      <c r="P3" s="504">
        <f>'Revenue, EBITDA, capex breakout'!AU2</f>
        <v>44834</v>
      </c>
      <c r="Q3" s="504">
        <f>'Revenue, EBITDA, capex breakout'!AV2</f>
        <v>44926</v>
      </c>
      <c r="R3" s="504">
        <f>'Revenue, EBITDA, capex breakout'!AW2</f>
        <v>45016</v>
      </c>
      <c r="S3" s="504">
        <f>'Revenue, EBITDA, capex breakout'!AX2</f>
        <v>45107</v>
      </c>
      <c r="T3" s="504">
        <f>'Revenue, EBITDA, capex breakout'!AY2</f>
        <v>45199</v>
      </c>
      <c r="U3" s="504">
        <f>'Revenue, EBITDA, capex breakout'!AZ2</f>
        <v>45291</v>
      </c>
      <c r="V3" s="504">
        <f>'Revenue, EBITDA, capex breakout'!BA2</f>
        <v>45382</v>
      </c>
      <c r="W3" s="504">
        <f>'Revenue, EBITDA, capex breakout'!BB2</f>
        <v>45473</v>
      </c>
      <c r="X3" s="504">
        <f>'Revenue, EBITDA, capex breakout'!BC2</f>
        <v>45565</v>
      </c>
      <c r="Y3" s="504"/>
      <c r="Z3" s="504"/>
      <c r="AA3" s="566">
        <f>EOMONTH(AC3,-12)</f>
        <v>45199</v>
      </c>
      <c r="AB3" s="566">
        <f>EOMONTH(AC3,-3)</f>
        <v>45473</v>
      </c>
      <c r="AC3" s="566">
        <f>$C$4</f>
        <v>45565</v>
      </c>
      <c r="AD3" s="566"/>
      <c r="AE3" s="566"/>
      <c r="AF3" s="502"/>
      <c r="AG3" s="502" t="s">
        <v>800</v>
      </c>
      <c r="AH3" s="502" t="s">
        <v>856</v>
      </c>
      <c r="AJ3" s="502" t="s">
        <v>209</v>
      </c>
      <c r="AL3" s="566">
        <f>EOMONTH(AM3,-12)</f>
        <v>45199</v>
      </c>
      <c r="AM3" s="566">
        <f>$C$4</f>
        <v>45565</v>
      </c>
    </row>
    <row r="4" spans="1:39" s="553" customFormat="1">
      <c r="B4" s="555" t="s">
        <v>859</v>
      </c>
      <c r="C4" s="565">
        <v>45565</v>
      </c>
      <c r="D4" s="558"/>
      <c r="E4" s="558"/>
      <c r="F4" s="558"/>
      <c r="G4" s="558"/>
      <c r="H4" s="558"/>
      <c r="I4" s="558"/>
      <c r="J4" s="558"/>
      <c r="K4" s="558"/>
      <c r="L4" s="558"/>
      <c r="M4" s="558"/>
      <c r="N4" s="558"/>
      <c r="O4" s="558"/>
      <c r="P4" s="558"/>
      <c r="Q4" s="558"/>
      <c r="R4" s="558"/>
      <c r="S4" s="558"/>
      <c r="T4" s="558"/>
      <c r="U4" s="558"/>
      <c r="V4" s="558"/>
      <c r="W4" s="558"/>
      <c r="X4" s="558"/>
      <c r="Y4" s="558"/>
      <c r="Z4" s="558"/>
      <c r="AF4" s="535" t="s">
        <v>896</v>
      </c>
      <c r="AG4" s="552"/>
      <c r="AH4" s="552"/>
      <c r="AJ4" s="552"/>
    </row>
    <row r="5" spans="1:39" s="560" customFormat="1">
      <c r="A5" s="554" t="s">
        <v>852</v>
      </c>
      <c r="B5" s="551" t="s">
        <v>851</v>
      </c>
      <c r="C5" s="559"/>
      <c r="D5" s="559"/>
      <c r="E5" s="559"/>
      <c r="F5" s="559"/>
      <c r="G5" s="559"/>
      <c r="H5" s="559"/>
      <c r="I5" s="559"/>
      <c r="J5" s="559"/>
      <c r="K5" s="559"/>
      <c r="L5" s="559"/>
      <c r="M5" s="559"/>
      <c r="N5" s="559"/>
      <c r="O5" s="559"/>
      <c r="P5" s="559"/>
      <c r="Q5" s="559"/>
      <c r="R5" s="559"/>
      <c r="S5" s="559"/>
      <c r="T5" s="559"/>
      <c r="U5" s="559"/>
      <c r="V5" s="559"/>
      <c r="W5" s="559"/>
      <c r="X5" s="559"/>
      <c r="Y5" s="559"/>
      <c r="Z5" s="559"/>
      <c r="AF5" s="551"/>
      <c r="AG5" s="551"/>
      <c r="AH5" s="551"/>
      <c r="AJ5" s="551"/>
    </row>
    <row r="6" spans="1:39">
      <c r="B6" s="557" t="s">
        <v>795</v>
      </c>
    </row>
    <row r="7" spans="1:39">
      <c r="B7" s="536" t="s">
        <v>28</v>
      </c>
      <c r="C7" s="540">
        <f>'Revenue, EBITDA, capex breakout'!AH4</f>
        <v>108667.339108</v>
      </c>
      <c r="D7" s="540">
        <f>'Revenue, EBITDA, capex breakout'!AI4</f>
        <v>109814</v>
      </c>
      <c r="E7" s="540">
        <f>'Revenue, EBITDA, capex breakout'!AJ4</f>
        <v>111652.89238099997</v>
      </c>
      <c r="F7" s="540">
        <f>'Revenue, EBITDA, capex breakout'!AK4</f>
        <v>129528.76147499999</v>
      </c>
      <c r="G7" s="540">
        <f>'Revenue, EBITDA, capex breakout'!AL4</f>
        <v>128771.034046</v>
      </c>
      <c r="H7" s="540">
        <f>'Revenue, EBITDA, capex breakout'!AM4</f>
        <v>138319.26007099997</v>
      </c>
      <c r="I7" s="540">
        <f>'Revenue, EBITDA, capex breakout'!AN4</f>
        <v>147789.157779</v>
      </c>
      <c r="J7" s="540">
        <f>'Revenue, EBITDA, capex breakout'!AO4</f>
        <v>140796.52852500009</v>
      </c>
      <c r="K7" s="540">
        <f>'Revenue, EBITDA, capex breakout'!AP4</f>
        <v>143055.61118499999</v>
      </c>
      <c r="L7" s="540">
        <f>'Revenue, EBITDA, capex breakout'!AQ4</f>
        <v>151914</v>
      </c>
      <c r="M7" s="540">
        <f>'Revenue, EBITDA, capex breakout'!AR4</f>
        <v>160173.31711710998</v>
      </c>
      <c r="N7" s="540">
        <f>'Revenue, EBITDA, capex breakout'!AS4</f>
        <v>175262.06535446507</v>
      </c>
      <c r="O7" s="540">
        <f>'Revenue, EBITDA, capex breakout'!AT4</f>
        <v>181404.25125552001</v>
      </c>
      <c r="P7" s="540">
        <f>'Revenue, EBITDA, capex breakout'!AU4</f>
        <v>188822.59666189004</v>
      </c>
      <c r="Q7" s="540">
        <f>'Revenue, EBITDA, capex breakout'!AV4</f>
        <v>193526.52150788001</v>
      </c>
      <c r="R7" s="540">
        <f>'Revenue, EBITDA, capex breakout'!AW4</f>
        <v>195492.58361471014</v>
      </c>
      <c r="S7" s="540">
        <f>'Revenue, EBITDA, capex breakout'!AX4</f>
        <v>203924.44172899998</v>
      </c>
      <c r="T7" s="540">
        <f>'Revenue, EBITDA, capex breakout'!AY4</f>
        <v>209520.93762199997</v>
      </c>
      <c r="U7" s="540">
        <f>'Revenue, EBITDA, capex breakout'!AZ4</f>
        <v>216385.55117799997</v>
      </c>
      <c r="V7" s="540">
        <f>'Revenue, EBITDA, capex breakout'!BA4</f>
        <v>220656.78353400007</v>
      </c>
      <c r="W7" s="540">
        <f>'Revenue, EBITDA, capex breakout'!BB4</f>
        <v>225274.4</v>
      </c>
      <c r="X7" s="540">
        <f>'Revenue, EBITDA, capex breakout'!BC4</f>
        <v>248371</v>
      </c>
      <c r="Y7" s="540"/>
      <c r="Z7" s="540"/>
      <c r="AA7" s="540">
        <f>SUMIFS($C7:Y7,$C$3:Y$3,AA$3)</f>
        <v>209520.93762199997</v>
      </c>
      <c r="AB7" s="540">
        <f>SUMIFS($C7:Y7,$C$3:Y$3,AB$3)</f>
        <v>225274.4</v>
      </c>
      <c r="AC7" s="540">
        <f>SUMIFS($C7:Y7,$C$3:Y$3,AC$3)</f>
        <v>248371</v>
      </c>
      <c r="AD7" s="543">
        <f>IFERROR(AC7/AA7-1,"")</f>
        <v>0.1854232938193987</v>
      </c>
      <c r="AE7" s="543">
        <f>IFERROR(AC7/AB7-1,"")</f>
        <v>0.10252651876999797</v>
      </c>
      <c r="AF7" s="539" cm="1">
        <f t="array" ref="AF7">_xll.VAData("BHARTI_IN", AF$4, "Revenue - Mobile - India", "Consensus", "CD", "IMPL","","")</f>
        <v>249545.49493251365</v>
      </c>
      <c r="AG7" s="548">
        <f>AC7/AF7-1</f>
        <v>-4.7065363084646261E-3</v>
      </c>
      <c r="AH7" s="538">
        <f>AC7-AA7</f>
        <v>38850.062378000031</v>
      </c>
      <c r="AL7" s="540">
        <f>IF(MONTH(AL$3)=3,SUMIFS($C7:Y7,$C$3:Y$3,"&lt;="&amp;AL$3,$C$3:Y$3,"&gt;"&amp;DATE(YEAR(AL$3)-1,3,31)),SUMIFS($C7:Y7,$C$3:Y$3,"&lt;="&amp;AL$3,$C$3:Y$3,"&gt;"&amp;EOMONTH(AL$3,-MONTH(AL$3)+3)))</f>
        <v>413445.37935099995</v>
      </c>
      <c r="AM7" s="540">
        <f>IF(MONTH(AM$3)=3,SUMIFS($C7:Y7,$C$3:Y$3,"&lt;="&amp;AM$3,$C$3:Y$3,"&gt;"&amp;DATE(YEAR(AM$3)-1,3,31)),SUMIFS($C7:Y7,$C$3:Y$3,"&lt;="&amp;AM$3,$C$3:Y$3,"&gt;"&amp;EOMONTH(AM$3,-MONTH(AM$3)+3)))</f>
        <v>473645.4</v>
      </c>
    </row>
    <row r="8" spans="1:39">
      <c r="B8" s="561" t="s">
        <v>849</v>
      </c>
      <c r="C8" s="538"/>
      <c r="D8" s="538"/>
      <c r="E8" s="538"/>
      <c r="F8" s="538"/>
      <c r="G8" s="548">
        <f>IFERROR(G7/C7-1,"")</f>
        <v>0.18500218283636971</v>
      </c>
      <c r="H8" s="548">
        <f t="shared" ref="H8" si="0">IFERROR(H7/D7-1,"")</f>
        <v>0.25957765012657741</v>
      </c>
      <c r="I8" s="548">
        <f t="shared" ref="I8" si="1">IFERROR(I7/E7-1,"")</f>
        <v>0.32364826944822944</v>
      </c>
      <c r="J8" s="548">
        <f t="shared" ref="J8" si="2">IFERROR(J7/F7-1,"")</f>
        <v>8.6990463906928106E-2</v>
      </c>
      <c r="K8" s="548">
        <f t="shared" ref="K8" si="3">IFERROR(K7/G7-1,"")</f>
        <v>0.11093004917470184</v>
      </c>
      <c r="L8" s="548">
        <f t="shared" ref="L8" si="4">IFERROR(L7/H7-1,"")</f>
        <v>9.8285227393652752E-2</v>
      </c>
      <c r="M8" s="548">
        <f t="shared" ref="M8" si="5">IFERROR(M7/I7-1,"")</f>
        <v>8.3796129054534152E-2</v>
      </c>
      <c r="N8" s="548">
        <f t="shared" ref="N8" si="6">IFERROR(N7/J7-1,"")</f>
        <v>0.2447896776328915</v>
      </c>
      <c r="O8" s="548">
        <f t="shared" ref="O8" si="7">IFERROR(O7/K7-1,"")</f>
        <v>0.26806805935719247</v>
      </c>
      <c r="P8" s="548">
        <f t="shared" ref="P8" si="8">IFERROR(P7/L7-1,"")</f>
        <v>0.2429571774944379</v>
      </c>
      <c r="Q8" s="548">
        <f t="shared" ref="Q8" si="9">IFERROR(Q7/M7-1,"")</f>
        <v>0.20823196391933352</v>
      </c>
      <c r="R8" s="548">
        <f t="shared" ref="R8" si="10">IFERROR(R7/N7-1,"")</f>
        <v>0.11543010302502776</v>
      </c>
      <c r="S8" s="548">
        <f t="shared" ref="S8" si="11">IFERROR(S7/O7-1,"")</f>
        <v>0.12414367534175796</v>
      </c>
      <c r="T8" s="548">
        <f t="shared" ref="T8:X8" si="12">IFERROR(T7/P7-1,"")</f>
        <v>0.10961792352200739</v>
      </c>
      <c r="U8" s="548">
        <f t="shared" si="12"/>
        <v>0.11811833071773159</v>
      </c>
      <c r="V8" s="548">
        <f t="shared" si="12"/>
        <v>0.12872201826789098</v>
      </c>
      <c r="W8" s="548">
        <f t="shared" si="12"/>
        <v>0.10469543567206374</v>
      </c>
      <c r="X8" s="548">
        <f t="shared" si="12"/>
        <v>0.1854232938193987</v>
      </c>
      <c r="Y8" s="548"/>
      <c r="Z8" s="548"/>
      <c r="AF8" s="581">
        <f>AF7/AA7-1</f>
        <v>0.19102891465063321</v>
      </c>
      <c r="AG8" s="548"/>
      <c r="AM8" s="548">
        <f>AM7/AL7-1</f>
        <v>0.14560574057811015</v>
      </c>
    </row>
    <row r="9" spans="1:39">
      <c r="B9" s="536" t="s">
        <v>29</v>
      </c>
      <c r="C9" s="540">
        <f>'Revenue, EBITDA, capex breakout'!AH5</f>
        <v>5704.7095660000005</v>
      </c>
      <c r="D9" s="540">
        <f>'Revenue, EBITDA, capex breakout'!AI5</f>
        <v>5475</v>
      </c>
      <c r="E9" s="540">
        <f>'Revenue, EBITDA, capex breakout'!AJ5</f>
        <v>5546.3759500000024</v>
      </c>
      <c r="F9" s="540">
        <f>'Revenue, EBITDA, capex breakout'!AK5</f>
        <v>5725.1100410000008</v>
      </c>
      <c r="G9" s="540">
        <f>'Revenue, EBITDA, capex breakout'!AL5</f>
        <v>5785.6427860000003</v>
      </c>
      <c r="H9" s="540">
        <f>'Revenue, EBITDA, capex breakout'!AM5</f>
        <v>5873.4223299999994</v>
      </c>
      <c r="I9" s="540">
        <f>'Revenue, EBITDA, capex breakout'!AN5</f>
        <v>5673.778941999999</v>
      </c>
      <c r="J9" s="540">
        <f>'Revenue, EBITDA, capex breakout'!AO5</f>
        <v>6009.0889880000013</v>
      </c>
      <c r="K9" s="540">
        <f>'Revenue, EBITDA, capex breakout'!AP5</f>
        <v>6532.6126100000001</v>
      </c>
      <c r="L9" s="540">
        <f>'Revenue, EBITDA, capex breakout'!AQ5</f>
        <v>7127</v>
      </c>
      <c r="M9" s="540">
        <f>'Revenue, EBITDA, capex breakout'!AR5</f>
        <v>7968.7393219999976</v>
      </c>
      <c r="N9" s="540">
        <f>'Revenue, EBITDA, capex breakout'!AS5</f>
        <v>8762.0578490000007</v>
      </c>
      <c r="O9" s="540">
        <f>'Revenue, EBITDA, capex breakout'!AT5</f>
        <v>9264.5887449999991</v>
      </c>
      <c r="P9" s="540">
        <f>'Revenue, EBITDA, capex breakout'!AU5</f>
        <v>9898.4133410000031</v>
      </c>
      <c r="Q9" s="540">
        <f>'Revenue, EBITDA, capex breakout'!AV5</f>
        <v>10343.149191</v>
      </c>
      <c r="R9" s="540">
        <f>'Revenue, EBITDA, capex breakout'!AW5</f>
        <v>10965.960542999997</v>
      </c>
      <c r="S9" s="540">
        <f>'Revenue, EBITDA, capex breakout'!AX5</f>
        <v>11620.918957</v>
      </c>
      <c r="T9" s="540">
        <f>'Revenue, EBITDA, capex breakout'!AY5</f>
        <v>12207.437658000001</v>
      </c>
      <c r="U9" s="540">
        <f>'Revenue, EBITDA, capex breakout'!AZ5</f>
        <v>12718.116070999999</v>
      </c>
      <c r="V9" s="540">
        <f>'Revenue, EBITDA, capex breakout'!BA5</f>
        <v>13155.006759000004</v>
      </c>
      <c r="W9" s="540">
        <f>'Revenue, EBITDA, capex breakout'!BB5</f>
        <v>13670</v>
      </c>
      <c r="X9" s="540">
        <f>'Revenue, EBITDA, capex breakout'!BC5</f>
        <v>14321</v>
      </c>
      <c r="Y9" s="540"/>
      <c r="Z9" s="540"/>
      <c r="AA9" s="540">
        <f>SUMIFS($C9:Y9,$C$3:Y$3,AA$3)</f>
        <v>12207.437658000001</v>
      </c>
      <c r="AB9" s="540">
        <f>SUMIFS($C9:Y9,$C$3:Y$3,AB$3)</f>
        <v>13670</v>
      </c>
      <c r="AC9" s="540">
        <f>SUMIFS($C9:Y9,$C$3:Y$3,AC$3)</f>
        <v>14321</v>
      </c>
      <c r="AD9" s="543">
        <f>IFERROR(AC9/AA9-1,"")</f>
        <v>0.17313726280755581</v>
      </c>
      <c r="AE9" s="543">
        <f>IFERROR(AC9/AB9-1,"")</f>
        <v>4.7622531089978049E-2</v>
      </c>
      <c r="AF9" s="539" cm="1">
        <f t="array" ref="AF9">_xll.VAData("BHARTI_IN", AF$4, "Revenue - Home services", "Consensus", "CD", "IMPL","","")</f>
        <v>14236.565062886584</v>
      </c>
      <c r="AG9" s="549">
        <f>AC9/AF9-1</f>
        <v>5.9308503659727396E-3</v>
      </c>
      <c r="AH9" s="538">
        <f>AC9-AA9</f>
        <v>2113.5623419999993</v>
      </c>
      <c r="AL9" s="540">
        <f>IF(MONTH(AL$3)=3,SUMIFS($C9:Y9,$C$3:Y$3,"&lt;="&amp;AL$3,$C$3:Y$3,"&gt;"&amp;DATE(YEAR(AL$3)-1,3,31)),SUMIFS($C9:Y9,$C$3:Y$3,"&lt;="&amp;AL$3,$C$3:Y$3,"&gt;"&amp;EOMONTH(AL$3,-MONTH(AL$3)+3)))</f>
        <v>23828.356615000001</v>
      </c>
      <c r="AM9" s="540">
        <f>IF(MONTH(AM$3)=3,SUMIFS($C9:Y9,$C$3:Y$3,"&lt;="&amp;AM$3,$C$3:Y$3,"&gt;"&amp;DATE(YEAR(AM$3)-1,3,31)),SUMIFS($C9:Y9,$C$3:Y$3,"&lt;="&amp;AM$3,$C$3:Y$3,"&gt;"&amp;EOMONTH(AM$3,-MONTH(AM$3)+3)))</f>
        <v>27991</v>
      </c>
    </row>
    <row r="10" spans="1:39">
      <c r="B10" s="561" t="s">
        <v>849</v>
      </c>
      <c r="C10" s="538"/>
      <c r="D10" s="538"/>
      <c r="E10" s="538"/>
      <c r="F10" s="538"/>
      <c r="G10" s="548">
        <f>IFERROR(G9/C9-1,"")</f>
        <v>1.418708859121609E-2</v>
      </c>
      <c r="H10" s="548">
        <f t="shared" ref="H10" si="13">IFERROR(H9/D9-1,"")</f>
        <v>7.2771201826483889E-2</v>
      </c>
      <c r="I10" s="548">
        <f t="shared" ref="I10" si="14">IFERROR(I9/E9-1,"")</f>
        <v>2.2970493372342915E-2</v>
      </c>
      <c r="J10" s="548">
        <f t="shared" ref="J10" si="15">IFERROR(J9/F9-1,"")</f>
        <v>4.9602356106049239E-2</v>
      </c>
      <c r="K10" s="548">
        <f t="shared" ref="K10" si="16">IFERROR(K9/G9-1,"")</f>
        <v>0.12910749101335894</v>
      </c>
      <c r="L10" s="548">
        <f t="shared" ref="L10" si="17">IFERROR(L9/H9-1,"")</f>
        <v>0.21343223755544249</v>
      </c>
      <c r="M10" s="548">
        <f t="shared" ref="M10" si="18">IFERROR(M9/I9-1,"")</f>
        <v>0.40448533569251621</v>
      </c>
      <c r="N10" s="548">
        <f t="shared" ref="N10" si="19">IFERROR(N9/J9-1,"")</f>
        <v>0.45813414753843862</v>
      </c>
      <c r="O10" s="548">
        <f t="shared" ref="O10" si="20">IFERROR(O9/K9-1,"")</f>
        <v>0.41820574678160805</v>
      </c>
      <c r="P10" s="548">
        <f t="shared" ref="P10" si="21">IFERROR(P9/L9-1,"")</f>
        <v>0.38886113946962308</v>
      </c>
      <c r="Q10" s="548">
        <f t="shared" ref="Q10" si="22">IFERROR(Q9/M9-1,"")</f>
        <v>0.29796555930054858</v>
      </c>
      <c r="R10" s="548">
        <f t="shared" ref="R10" si="23">IFERROR(R9/N9-1,"")</f>
        <v>0.25152797801392346</v>
      </c>
      <c r="S10" s="548">
        <f t="shared" ref="S10" si="24">IFERROR(S9/O9-1,"")</f>
        <v>0.25433727031560771</v>
      </c>
      <c r="T10" s="548">
        <f t="shared" ref="T10:X10" si="25">IFERROR(T9/P9-1,"")</f>
        <v>0.23327216569506537</v>
      </c>
      <c r="U10" s="548">
        <f t="shared" si="25"/>
        <v>0.22961738597627068</v>
      </c>
      <c r="V10" s="548">
        <f t="shared" si="25"/>
        <v>0.19962193073887713</v>
      </c>
      <c r="W10" s="548">
        <f t="shared" si="25"/>
        <v>0.17632693684398437</v>
      </c>
      <c r="X10" s="548">
        <f t="shared" si="25"/>
        <v>0.17313726280755581</v>
      </c>
      <c r="Y10" s="548"/>
      <c r="Z10" s="548"/>
      <c r="AF10" s="581">
        <f>AF9/AA9-1</f>
        <v>0.16622058303585252</v>
      </c>
      <c r="AG10" s="549"/>
      <c r="AM10" s="548">
        <f>AM9/AL9-1</f>
        <v>0.17469284400333374</v>
      </c>
    </row>
    <row r="11" spans="1:39">
      <c r="B11" s="536" t="s">
        <v>30</v>
      </c>
      <c r="C11" s="540">
        <f>'Revenue, EBITDA, capex breakout'!AH6</f>
        <v>7389.4105060000002</v>
      </c>
      <c r="D11" s="540">
        <f>'Revenue, EBITDA, capex breakout'!AI6</f>
        <v>7893</v>
      </c>
      <c r="E11" s="540">
        <f>'Revenue, EBITDA, capex breakout'!AJ6</f>
        <v>7921.6576299999997</v>
      </c>
      <c r="F11" s="540">
        <f>'Revenue, EBITDA, capex breakout'!AK6</f>
        <v>6034.7938980000017</v>
      </c>
      <c r="G11" s="540">
        <f>'Revenue, EBITDA, capex breakout'!AL6</f>
        <v>7448.2672670000002</v>
      </c>
      <c r="H11" s="540">
        <f>'Revenue, EBITDA, capex breakout'!AM6</f>
        <v>7548.4164109999992</v>
      </c>
      <c r="I11" s="540">
        <f>'Revenue, EBITDA, capex breakout'!AN6</f>
        <v>7892.0325370000019</v>
      </c>
      <c r="J11" s="540">
        <f>'Revenue, EBITDA, capex breakout'!AO6</f>
        <v>7673.1986040000002</v>
      </c>
      <c r="K11" s="540">
        <f>'Revenue, EBITDA, capex breakout'!AP6</f>
        <v>8094.5149229999997</v>
      </c>
      <c r="L11" s="540">
        <f>'Revenue, EBITDA, capex breakout'!AQ6</f>
        <v>7979</v>
      </c>
      <c r="M11" s="540">
        <f>'Revenue, EBITDA, capex breakout'!AR6</f>
        <v>7912.4453920000005</v>
      </c>
      <c r="N11" s="540">
        <f>'Revenue, EBITDA, capex breakout'!AS6</f>
        <v>7551.7784139999994</v>
      </c>
      <c r="O11" s="540">
        <f>'Revenue, EBITDA, capex breakout'!AT6</f>
        <v>7481.7754379999997</v>
      </c>
      <c r="P11" s="540">
        <f>'Revenue, EBITDA, capex breakout'!AU6</f>
        <v>7288.047474</v>
      </c>
      <c r="Q11" s="540">
        <f>'Revenue, EBITDA, capex breakout'!AV6</f>
        <v>7390.2210090000017</v>
      </c>
      <c r="R11" s="540">
        <f>'Revenue, EBITDA, capex breakout'!AW6</f>
        <v>7290.4513539999998</v>
      </c>
      <c r="S11" s="540">
        <f>'Revenue, EBITDA, capex breakout'!AX6</f>
        <v>7403.2364610000004</v>
      </c>
      <c r="T11" s="540">
        <f>'Revenue, EBITDA, capex breakout'!AY6</f>
        <v>7514.5563480000001</v>
      </c>
      <c r="U11" s="540">
        <f>'Revenue, EBITDA, capex breakout'!AZ6</f>
        <v>7837.163896</v>
      </c>
      <c r="V11" s="540">
        <f>'Revenue, EBITDA, capex breakout'!BA6</f>
        <v>7693.4150569999965</v>
      </c>
      <c r="W11" s="540">
        <f>'Revenue, EBITDA, capex breakout'!BB6</f>
        <v>7771</v>
      </c>
      <c r="X11" s="540">
        <f>'Revenue, EBITDA, capex breakout'!BC6</f>
        <v>7586</v>
      </c>
      <c r="Y11" s="540"/>
      <c r="Z11" s="540"/>
      <c r="AA11" s="540">
        <f>SUMIFS($C11:Y11,$C$3:Y$3,AA$3)</f>
        <v>7514.5563480000001</v>
      </c>
      <c r="AB11" s="540">
        <f>SUMIFS($C11:Y11,$C$3:Y$3,AB$3)</f>
        <v>7771</v>
      </c>
      <c r="AC11" s="540">
        <f>SUMIFS($C11:Y11,$C$3:Y$3,AC$3)</f>
        <v>7586</v>
      </c>
      <c r="AD11" s="543">
        <f>IFERROR(AC11/AA11-1,"")</f>
        <v>9.507367925854382E-3</v>
      </c>
      <c r="AE11" s="543">
        <f>IFERROR(AC11/AB11-1,"")</f>
        <v>-2.3806459915068801E-2</v>
      </c>
      <c r="AF11" s="539" cm="1">
        <f t="array" ref="AF11">_xll.VAData("BHARTI_IN", AF$4, "Revenue - Digital TV services", "Consensus", "CD", "IMPL","","")</f>
        <v>7860.6403518903244</v>
      </c>
      <c r="AG11" s="549">
        <f>AC11/AF11-1</f>
        <v>-3.4938674153216942E-2</v>
      </c>
      <c r="AH11" s="538">
        <f>AC11-AA11</f>
        <v>71.443651999999929</v>
      </c>
      <c r="AL11" s="540">
        <f>IF(MONTH(AL$3)=3,SUMIFS($C11:Y11,$C$3:Y$3,"&lt;="&amp;AL$3,$C$3:Y$3,"&gt;"&amp;DATE(YEAR(AL$3)-1,3,31)),SUMIFS($C11:Y11,$C$3:Y$3,"&lt;="&amp;AL$3,$C$3:Y$3,"&gt;"&amp;EOMONTH(AL$3,-MONTH(AL$3)+3)))</f>
        <v>14917.792809</v>
      </c>
      <c r="AM11" s="540">
        <f>IF(MONTH(AM$3)=3,SUMIFS($C11:Y11,$C$3:Y$3,"&lt;="&amp;AM$3,$C$3:Y$3,"&gt;"&amp;DATE(YEAR(AM$3)-1,3,31)),SUMIFS($C11:Y11,$C$3:Y$3,"&lt;="&amp;AM$3,$C$3:Y$3,"&gt;"&amp;EOMONTH(AM$3,-MONTH(AM$3)+3)))</f>
        <v>15357</v>
      </c>
    </row>
    <row r="12" spans="1:39">
      <c r="B12" s="561" t="s">
        <v>849</v>
      </c>
      <c r="C12" s="538"/>
      <c r="D12" s="538"/>
      <c r="E12" s="538"/>
      <c r="F12" s="538"/>
      <c r="G12" s="548">
        <f>IFERROR(G11/C11-1,"")</f>
        <v>7.9650143881180302E-3</v>
      </c>
      <c r="H12" s="548">
        <f t="shared" ref="H12" si="26">IFERROR(H11/D11-1,"")</f>
        <v>-4.3656859115672186E-2</v>
      </c>
      <c r="I12" s="548">
        <f t="shared" ref="I12" si="27">IFERROR(I11/E11-1,"")</f>
        <v>-3.7397593261042639E-3</v>
      </c>
      <c r="J12" s="548">
        <f t="shared" ref="J12" si="28">IFERROR(J11/F11-1,"")</f>
        <v>0.27149306731800471</v>
      </c>
      <c r="K12" s="548">
        <f t="shared" ref="K12" si="29">IFERROR(K11/G11-1,"")</f>
        <v>8.6764831716396484E-2</v>
      </c>
      <c r="L12" s="548">
        <f t="shared" ref="L12" si="30">IFERROR(L11/H11-1,"")</f>
        <v>5.7042903511858256E-2</v>
      </c>
      <c r="M12" s="548">
        <f t="shared" ref="M12" si="31">IFERROR(M11/I11-1,"")</f>
        <v>2.5865142983505507E-3</v>
      </c>
      <c r="N12" s="548">
        <f t="shared" ref="N12" si="32">IFERROR(N11/J11-1,"")</f>
        <v>-1.5823934224340919E-2</v>
      </c>
      <c r="O12" s="548">
        <f t="shared" ref="O12" si="33">IFERROR(O11/K11-1,"")</f>
        <v>-7.5698110489480164E-2</v>
      </c>
      <c r="P12" s="548">
        <f t="shared" ref="P12" si="34">IFERROR(P11/L11-1,"")</f>
        <v>-8.6596381250783283E-2</v>
      </c>
      <c r="Q12" s="548">
        <f t="shared" ref="Q12" si="35">IFERROR(Q11/M11-1,"")</f>
        <v>-6.600037752273169E-2</v>
      </c>
      <c r="R12" s="548">
        <f t="shared" ref="R12" si="36">IFERROR(R11/N11-1,"")</f>
        <v>-3.4604704438299438E-2</v>
      </c>
      <c r="S12" s="548">
        <f t="shared" ref="S12" si="37">IFERROR(S11/O11-1,"")</f>
        <v>-1.0497371599941241E-2</v>
      </c>
      <c r="T12" s="548">
        <f t="shared" ref="T12:X12" si="38">IFERROR(T11/P11-1,"")</f>
        <v>3.1079500347393152E-2</v>
      </c>
      <c r="U12" s="548">
        <f t="shared" si="38"/>
        <v>6.0477607700189173E-2</v>
      </c>
      <c r="V12" s="548">
        <f t="shared" si="38"/>
        <v>5.5272805953078041E-2</v>
      </c>
      <c r="W12" s="548">
        <f t="shared" si="38"/>
        <v>4.9676049243782217E-2</v>
      </c>
      <c r="X12" s="548">
        <f t="shared" si="38"/>
        <v>9.507367925854382E-3</v>
      </c>
      <c r="Y12" s="548"/>
      <c r="Z12" s="548"/>
      <c r="AF12" s="581">
        <f>AF11/AA11-1</f>
        <v>4.6055147884070946E-2</v>
      </c>
      <c r="AG12" s="549"/>
      <c r="AM12" s="548">
        <f>AM11/AL11-1</f>
        <v>2.9441834768949349E-2</v>
      </c>
    </row>
    <row r="13" spans="1:39">
      <c r="B13" s="536" t="s">
        <v>31</v>
      </c>
      <c r="C13" s="540">
        <f>'Revenue, EBITDA, capex breakout'!AH7</f>
        <v>32080.417566606</v>
      </c>
      <c r="D13" s="540">
        <f>'Revenue, EBITDA, capex breakout'!AI7</f>
        <v>33312</v>
      </c>
      <c r="E13" s="540">
        <f>'Revenue, EBITDA, capex breakout'!AJ7</f>
        <v>33176.344185077003</v>
      </c>
      <c r="F13" s="540">
        <f>'Revenue, EBITDA, capex breakout'!AK7</f>
        <v>33762.460538964995</v>
      </c>
      <c r="G13" s="540">
        <f>'Revenue, EBITDA, capex breakout'!AL7</f>
        <v>35019.394650412993</v>
      </c>
      <c r="H13" s="540">
        <f>'Revenue, EBITDA, capex breakout'!AM7</f>
        <v>35820.581256796992</v>
      </c>
      <c r="I13" s="540">
        <f>'Revenue, EBITDA, capex breakout'!AN7</f>
        <v>36214.320874482997</v>
      </c>
      <c r="J13" s="540">
        <f>'Revenue, EBITDA, capex breakout'!AO7</f>
        <v>37020.960182455041</v>
      </c>
      <c r="K13" s="540">
        <f>'Revenue, EBITDA, capex breakout'!AP7</f>
        <v>37893.218485680001</v>
      </c>
      <c r="L13" s="540">
        <f>'Revenue, EBITDA, capex breakout'!AQ7</f>
        <v>39953</v>
      </c>
      <c r="M13" s="540">
        <f>'Revenue, EBITDA, capex breakout'!AR7</f>
        <v>41058.526125466982</v>
      </c>
      <c r="N13" s="540">
        <f>'Revenue, EBITDA, capex breakout'!AS7</f>
        <v>41798.319524299972</v>
      </c>
      <c r="O13" s="540">
        <f>'Revenue, EBITDA, capex breakout'!AT7</f>
        <v>43656.237966409004</v>
      </c>
      <c r="P13" s="540">
        <f>'Revenue, EBITDA, capex breakout'!AU7</f>
        <v>46645.534046103006</v>
      </c>
      <c r="Q13" s="540">
        <f>'Revenue, EBITDA, capex breakout'!AV7</f>
        <v>47779.058184985988</v>
      </c>
      <c r="R13" s="540">
        <f>'Revenue, EBITDA, capex breakout'!AW7</f>
        <v>47849.530726049976</v>
      </c>
      <c r="S13" s="540">
        <f>'Revenue, EBITDA, capex breakout'!AX7</f>
        <v>50545.195438034993</v>
      </c>
      <c r="T13" s="540">
        <f>'Revenue, EBITDA, capex breakout'!AY7</f>
        <v>51100.110061839005</v>
      </c>
      <c r="U13" s="540">
        <f>'Revenue, EBITDA, capex breakout'!AZ7</f>
        <v>51948.010027724027</v>
      </c>
      <c r="V13" s="540">
        <f>'Revenue, EBITDA, capex breakout'!BA7</f>
        <v>54616.101027068944</v>
      </c>
      <c r="W13" s="540">
        <f>'Revenue, EBITDA, capex breakout'!BB7</f>
        <v>54765</v>
      </c>
      <c r="X13" s="540">
        <f>'Revenue, EBITDA, capex breakout'!BC7</f>
        <v>56555</v>
      </c>
      <c r="Y13" s="593">
        <f>X13/W13-1</f>
        <v>3.2685109102529086E-2</v>
      </c>
      <c r="Z13" s="540"/>
      <c r="AA13" s="540">
        <f>SUMIFS($C13:Y13,$C$3:Y$3,AA$3)</f>
        <v>51100.110061839005</v>
      </c>
      <c r="AB13" s="540">
        <f>SUMIFS($C13:Y13,$C$3:Y$3,AB$3)</f>
        <v>54765</v>
      </c>
      <c r="AC13" s="540">
        <f>SUMIFS($C13:Y13,$C$3:Y$3,AC$3)</f>
        <v>56555</v>
      </c>
      <c r="AD13" s="543">
        <f>IFERROR(AC13/AA13-1,"")</f>
        <v>0.10674908393660476</v>
      </c>
      <c r="AE13" s="543">
        <f>IFERROR(AC13/AB13-1,"")</f>
        <v>3.2685109102529086E-2</v>
      </c>
      <c r="AF13" s="539" cm="1">
        <f t="array" ref="AF13">_xll.VAData("BHARTI_IN", AF$4, "Revenue - Airtel Business", "Consensus", "CD", "IMPL","","")</f>
        <v>56078.458235097001</v>
      </c>
      <c r="AG13" s="549">
        <f>AC13/AF13-1</f>
        <v>8.497768660208127E-3</v>
      </c>
      <c r="AH13" s="538">
        <f>AC13-AA13</f>
        <v>5454.8899381609954</v>
      </c>
      <c r="AL13" s="540">
        <f>IF(MONTH(AL$3)=3,SUMIFS($C13:Y13,$C$3:Y$3,"&lt;="&amp;AL$3,$C$3:Y$3,"&gt;"&amp;DATE(YEAR(AL$3)-1,3,31)),SUMIFS($C13:Y13,$C$3:Y$3,"&lt;="&amp;AL$3,$C$3:Y$3,"&gt;"&amp;EOMONTH(AL$3,-MONTH(AL$3)+3)))</f>
        <v>101645.305499874</v>
      </c>
      <c r="AM13" s="540">
        <f>IF(MONTH(AM$3)=3,SUMIFS($C13:Y13,$C$3:Y$3,"&lt;="&amp;AM$3,$C$3:Y$3,"&gt;"&amp;DATE(YEAR(AM$3)-1,3,31)),SUMIFS($C13:Y13,$C$3:Y$3,"&lt;="&amp;AM$3,$C$3:Y$3,"&gt;"&amp;EOMONTH(AM$3,-MONTH(AM$3)+3)))</f>
        <v>111320</v>
      </c>
    </row>
    <row r="14" spans="1:39">
      <c r="B14" s="561" t="s">
        <v>849</v>
      </c>
      <c r="C14" s="538"/>
      <c r="D14" s="538"/>
      <c r="E14" s="538"/>
      <c r="F14" s="538"/>
      <c r="G14" s="548">
        <f>IFERROR(G13/C13-1,"")</f>
        <v>9.1612806401444979E-2</v>
      </c>
      <c r="H14" s="548">
        <f t="shared" ref="H14" si="39">IFERROR(H13/D13-1,"")</f>
        <v>7.5305633309227682E-2</v>
      </c>
      <c r="I14" s="548">
        <f t="shared" ref="I14" si="40">IFERROR(I13/E13-1,"")</f>
        <v>9.1570568247616002E-2</v>
      </c>
      <c r="J14" s="548">
        <f t="shared" ref="J14" si="41">IFERROR(J13/F13-1,"")</f>
        <v>9.6512505056597808E-2</v>
      </c>
      <c r="K14" s="548">
        <f t="shared" ref="K14" si="42">IFERROR(K13/G13-1,"")</f>
        <v>8.206377819935029E-2</v>
      </c>
      <c r="L14" s="548">
        <f t="shared" ref="L14" si="43">IFERROR(L13/H13-1,"")</f>
        <v>0.1153643687012722</v>
      </c>
      <c r="M14" s="548">
        <f t="shared" ref="M14" si="44">IFERROR(M13/I13-1,"")</f>
        <v>0.1337649066449087</v>
      </c>
      <c r="N14" s="548">
        <f t="shared" ref="N14" si="45">IFERROR(N13/J13-1,"")</f>
        <v>0.12904471732499845</v>
      </c>
      <c r="O14" s="548">
        <f t="shared" ref="O14" si="46">IFERROR(O13/K13-1,"")</f>
        <v>0.15208577447457694</v>
      </c>
      <c r="P14" s="548">
        <f t="shared" ref="P14" si="47">IFERROR(P13/L13-1,"")</f>
        <v>0.16751017560891568</v>
      </c>
      <c r="Q14" s="548">
        <f t="shared" ref="Q14" si="48">IFERROR(Q13/M13-1,"")</f>
        <v>0.16368176585253802</v>
      </c>
      <c r="R14" s="548">
        <f t="shared" ref="R14" si="49">IFERROR(R13/N13-1,"")</f>
        <v>0.14477163844426943</v>
      </c>
      <c r="S14" s="548">
        <f t="shared" ref="S14" si="50">IFERROR(S13/O13-1,"")</f>
        <v>0.15780007147951336</v>
      </c>
      <c r="T14" s="548">
        <f t="shared" ref="T14:X14" si="51">IFERROR(T13/P13-1,"")</f>
        <v>9.5498446032008744E-2</v>
      </c>
      <c r="U14" s="548">
        <f t="shared" si="51"/>
        <v>8.7254793231736016E-2</v>
      </c>
      <c r="V14" s="548">
        <f t="shared" si="51"/>
        <v>0.14141351437194238</v>
      </c>
      <c r="W14" s="548">
        <f t="shared" si="51"/>
        <v>8.3485770020183203E-2</v>
      </c>
      <c r="X14" s="548">
        <f t="shared" si="51"/>
        <v>0.10674908393660476</v>
      </c>
      <c r="Y14" s="548"/>
      <c r="Z14" s="548"/>
      <c r="AF14" s="581">
        <f>AF13/AA13-1</f>
        <v>9.7423433476629073E-2</v>
      </c>
      <c r="AG14" s="549"/>
      <c r="AM14" s="548">
        <f>AM13/AL13-1</f>
        <v>9.5180927958724126E-2</v>
      </c>
    </row>
    <row r="15" spans="1:39">
      <c r="B15" s="536" t="s">
        <v>32</v>
      </c>
      <c r="C15" s="540">
        <f>'Revenue, EBITDA, capex breakout'!AH8</f>
        <v>17261.687692</v>
      </c>
      <c r="D15" s="540">
        <f>'Revenue, EBITDA, capex breakout'!AI8</f>
        <v>16674</v>
      </c>
      <c r="E15" s="540">
        <f>'Revenue, EBITDA, capex breakout'!AJ8</f>
        <v>16662.105146000002</v>
      </c>
      <c r="F15" s="540">
        <f>'Revenue, EBITDA, capex breakout'!AK8</f>
        <v>16825.546549999999</v>
      </c>
      <c r="G15" s="540">
        <f>'Revenue, EBITDA, capex breakout'!AL8</f>
        <v>16420.748175000001</v>
      </c>
      <c r="H15" s="540">
        <f>'Revenue, EBITDA, capex breakout'!AM8</f>
        <v>17663.259929</v>
      </c>
      <c r="I15" s="540">
        <f>'Revenue, EBITDA, capex breakout'!AN8</f>
        <v>0</v>
      </c>
      <c r="J15" s="540">
        <f>'Revenue, EBITDA, capex breakout'!AO8</f>
        <v>0</v>
      </c>
      <c r="K15" s="540">
        <f>'Revenue, EBITDA, capex breakout'!AP8</f>
        <v>0</v>
      </c>
      <c r="L15" s="540">
        <f>'Revenue, EBITDA, capex breakout'!AQ8</f>
        <v>0</v>
      </c>
      <c r="M15" s="540">
        <f>'Revenue, EBITDA, capex breakout'!AR8</f>
        <v>0</v>
      </c>
      <c r="N15" s="540">
        <f>'Revenue, EBITDA, capex breakout'!AS8</f>
        <v>0</v>
      </c>
      <c r="O15" s="540">
        <f>'Revenue, EBITDA, capex breakout'!AT8</f>
        <v>0</v>
      </c>
      <c r="P15" s="540">
        <f>'Revenue, EBITDA, capex breakout'!AU8</f>
        <v>0</v>
      </c>
      <c r="Q15" s="540">
        <f>'Revenue, EBITDA, capex breakout'!AV8</f>
        <v>0</v>
      </c>
      <c r="R15" s="540">
        <f>'Revenue, EBITDA, capex breakout'!AW8</f>
        <v>0</v>
      </c>
      <c r="S15" s="540">
        <f>'Revenue, EBITDA, capex breakout'!AX8</f>
        <v>0</v>
      </c>
      <c r="T15" s="540">
        <f>'Revenue, EBITDA, capex breakout'!AY8</f>
        <v>0</v>
      </c>
      <c r="U15" s="540">
        <f>'Revenue, EBITDA, capex breakout'!AZ8</f>
        <v>0</v>
      </c>
      <c r="V15" s="540">
        <f>'Revenue, EBITDA, capex breakout'!BA8</f>
        <v>0</v>
      </c>
      <c r="W15" s="540">
        <f>'Revenue, EBITDA, capex breakout'!BB8</f>
        <v>0</v>
      </c>
      <c r="X15" s="540">
        <f>'Revenue, EBITDA, capex breakout'!BC8</f>
        <v>0</v>
      </c>
      <c r="Y15" s="540"/>
      <c r="Z15" s="540"/>
      <c r="AA15" s="540">
        <f>SUMIFS($C15:Y15,$C$3:Y$3,AA$3)</f>
        <v>0</v>
      </c>
      <c r="AB15" s="540">
        <f>SUMIFS($C15:Y15,$C$3:Y$3,AB$3)</f>
        <v>0</v>
      </c>
      <c r="AC15" s="540">
        <f>SUMIFS($C15:Y15,$C$3:Y$3,AC$3)</f>
        <v>0</v>
      </c>
      <c r="AD15" s="543" t="str">
        <f>IFERROR(AC15/AA15-1,"")</f>
        <v/>
      </c>
      <c r="AE15" s="543" t="str">
        <f>IFERROR(AC15/AB15-1,"")</f>
        <v/>
      </c>
      <c r="AF15" s="539"/>
      <c r="AG15" s="549"/>
    </row>
    <row r="16" spans="1:39">
      <c r="B16" s="536" t="s">
        <v>33</v>
      </c>
      <c r="C16" s="540">
        <f>'Revenue, EBITDA, capex breakout'!AH9</f>
        <v>1089</v>
      </c>
      <c r="D16" s="540">
        <f>'Revenue, EBITDA, capex breakout'!AI9</f>
        <v>1106</v>
      </c>
      <c r="E16" s="540">
        <f>'Revenue, EBITDA, capex breakout'!AJ9</f>
        <v>1154.7463531619999</v>
      </c>
      <c r="F16" s="540">
        <f>'Revenue, EBITDA, capex breakout'!AK9</f>
        <v>1203.096119242002</v>
      </c>
      <c r="G16" s="540">
        <f>'Revenue, EBITDA, capex breakout'!AL9</f>
        <v>1087.516621645</v>
      </c>
      <c r="H16" s="540">
        <f>'Revenue, EBITDA, capex breakout'!AM9</f>
        <v>1116.3075473180004</v>
      </c>
      <c r="I16" s="540">
        <f>'Revenue, EBITDA, capex breakout'!AN9</f>
        <v>1060.6138277099997</v>
      </c>
      <c r="J16" s="540">
        <f>'Revenue, EBITDA, capex breakout'!AO9</f>
        <v>982.30751476899945</v>
      </c>
      <c r="K16" s="540">
        <f>'Revenue, EBITDA, capex breakout'!AP9</f>
        <v>951.57582377999995</v>
      </c>
      <c r="L16" s="540">
        <f>'Revenue, EBITDA, capex breakout'!AQ9</f>
        <v>957.85773911400031</v>
      </c>
      <c r="M16" s="540">
        <f>'Revenue, EBITDA, capex breakout'!AR9</f>
        <v>975.48070332999885</v>
      </c>
      <c r="N16" s="540">
        <f>'Revenue, EBITDA, capex breakout'!AS9</f>
        <v>984</v>
      </c>
      <c r="O16" s="540">
        <f>'Revenue, EBITDA, capex breakout'!AT9</f>
        <v>666.88710738999998</v>
      </c>
      <c r="P16" s="540">
        <f>'Revenue, EBITDA, capex breakout'!AU9</f>
        <v>694.67411558499884</v>
      </c>
      <c r="Q16" s="540">
        <f>'Revenue, EBITDA, capex breakout'!AV9</f>
        <v>776.55100861300139</v>
      </c>
      <c r="R16" s="540">
        <f>'Revenue, EBITDA, capex breakout'!AW9</f>
        <v>805.59233178499903</v>
      </c>
      <c r="S16" s="540">
        <f>'Revenue, EBITDA, capex breakout'!AX9</f>
        <v>933.71615324100003</v>
      </c>
      <c r="T16" s="540">
        <f>'Revenue, EBITDA, capex breakout'!AY9</f>
        <v>932.81413617399994</v>
      </c>
      <c r="U16" s="540">
        <f>'Revenue, EBITDA, capex breakout'!AZ9</f>
        <v>945.2344450999999</v>
      </c>
      <c r="V16" s="540">
        <f>'Revenue, EBITDA, capex breakout'!BA9</f>
        <v>961.3448814100002</v>
      </c>
      <c r="W16" s="540">
        <f>'Revenue, EBITDA, capex breakout'!BB9</f>
        <v>940.75</v>
      </c>
      <c r="X16" s="540">
        <f>'Revenue, EBITDA, capex breakout'!BC9</f>
        <v>0</v>
      </c>
      <c r="Y16" s="540"/>
      <c r="Z16" s="540"/>
      <c r="AA16" s="540">
        <f>SUMIFS($C16:Y16,$C$3:Y$3,AA$3)</f>
        <v>932.81413617399994</v>
      </c>
      <c r="AB16" s="540">
        <f>SUMIFS($C16:Y16,$C$3:Y$3,AB$3)</f>
        <v>940.75</v>
      </c>
      <c r="AC16" s="540">
        <f>SUMIFS($C16:Y16,$C$3:Y$3,AC$3)</f>
        <v>0</v>
      </c>
      <c r="AD16" s="543">
        <f>IFERROR(AC16/AA16-1,"")</f>
        <v>-1</v>
      </c>
      <c r="AE16" s="543">
        <f>IFERROR(AC16/AB16-1,"")</f>
        <v>-1</v>
      </c>
      <c r="AF16" s="539" cm="1">
        <f t="array" ref="AF16">_xll.VAData("BHARTI_IN", AF$4, "Revenue - Mobile services - South Asia", "Consensus", "CD", "IMPL","","")</f>
        <v>968.13465963745125</v>
      </c>
      <c r="AG16" s="549">
        <f>AC16/AF16-1</f>
        <v>-1</v>
      </c>
      <c r="AH16" s="538">
        <f>AC16-AA16</f>
        <v>-932.81413617399994</v>
      </c>
      <c r="AL16" s="540">
        <f>IF(MONTH(AL$3)=3,SUMIFS($C16:Y16,$C$3:Y$3,"&lt;="&amp;AL$3,$C$3:Y$3,"&gt;"&amp;DATE(YEAR(AL$3)-1,3,31)),SUMIFS($C16:Y16,$C$3:Y$3,"&lt;="&amp;AL$3,$C$3:Y$3,"&gt;"&amp;EOMONTH(AL$3,-MONTH(AL$3)+3)))</f>
        <v>1866.530289415</v>
      </c>
      <c r="AM16" s="540">
        <f>IF(MONTH(AM$3)=3,SUMIFS($C16:Y16,$C$3:Y$3,"&lt;="&amp;AM$3,$C$3:Y$3,"&gt;"&amp;DATE(YEAR(AM$3)-1,3,31)),SUMIFS($C16:Y16,$C$3:Y$3,"&lt;="&amp;AM$3,$C$3:Y$3,"&gt;"&amp;EOMONTH(AM$3,-MONTH(AM$3)+3)))</f>
        <v>940.75</v>
      </c>
    </row>
    <row r="17" spans="2:39">
      <c r="B17" s="561" t="s">
        <v>849</v>
      </c>
      <c r="C17" s="538"/>
      <c r="D17" s="538"/>
      <c r="E17" s="538"/>
      <c r="F17" s="538"/>
      <c r="G17" s="548">
        <f>IFERROR(G16/C16-1,"")</f>
        <v>-1.3621472497704623E-3</v>
      </c>
      <c r="H17" s="548">
        <f t="shared" ref="H17" si="52">IFERROR(H16/D16-1,"")</f>
        <v>9.3196630361667143E-3</v>
      </c>
      <c r="I17" s="548">
        <f t="shared" ref="I17" si="53">IFERROR(I16/E16-1,"")</f>
        <v>-8.1517923996244357E-2</v>
      </c>
      <c r="J17" s="548">
        <f t="shared" ref="J17" si="54">IFERROR(J16/F16-1,"")</f>
        <v>-0.18351701160178968</v>
      </c>
      <c r="K17" s="548">
        <f t="shared" ref="K17" si="55">IFERROR(K16/G16-1,"")</f>
        <v>-0.12500112196848379</v>
      </c>
      <c r="L17" s="548">
        <f t="shared" ref="L17" si="56">IFERROR(L16/H16-1,"")</f>
        <v>-0.14194099877286126</v>
      </c>
      <c r="M17" s="548">
        <f t="shared" ref="M17" si="57">IFERROR(M16/I16-1,"")</f>
        <v>-8.026778659280176E-2</v>
      </c>
      <c r="N17" s="548">
        <f t="shared" ref="N17" si="58">IFERROR(N16/J16-1,"")</f>
        <v>1.7229688316071634E-3</v>
      </c>
      <c r="O17" s="548">
        <f t="shared" ref="O17" si="59">IFERROR(O16/K16-1,"")</f>
        <v>-0.29917607118171041</v>
      </c>
      <c r="P17" s="548">
        <f t="shared" ref="P17" si="60">IFERROR(P16/L16-1,"")</f>
        <v>-0.2747627468902023</v>
      </c>
      <c r="Q17" s="548">
        <f t="shared" ref="Q17" si="61">IFERROR(Q16/M16-1,"")</f>
        <v>-0.20392991274754191</v>
      </c>
      <c r="R17" s="548">
        <f t="shared" ref="R17" si="62">IFERROR(R16/N16-1,"")</f>
        <v>-0.18130860590955378</v>
      </c>
      <c r="S17" s="548">
        <f t="shared" ref="S17" si="63">IFERROR(S16/O16-1,"")</f>
        <v>0.40011126755065107</v>
      </c>
      <c r="T17" s="548">
        <f t="shared" ref="T17:X17" si="64">IFERROR(T16/P16-1,"")</f>
        <v>0.34280825389392655</v>
      </c>
      <c r="U17" s="548">
        <f t="shared" si="64"/>
        <v>0.21722132173684794</v>
      </c>
      <c r="V17" s="548">
        <f t="shared" si="64"/>
        <v>0.19333916607658241</v>
      </c>
      <c r="W17" s="548">
        <f t="shared" si="64"/>
        <v>7.5331745462312583E-3</v>
      </c>
      <c r="X17" s="548">
        <f t="shared" si="64"/>
        <v>-1</v>
      </c>
      <c r="Y17" s="548"/>
      <c r="Z17" s="548"/>
      <c r="AF17" s="581">
        <f>AF16/AA16-1</f>
        <v>3.7864481351366219E-2</v>
      </c>
      <c r="AG17" s="549"/>
      <c r="AM17" s="548">
        <f>AM16/AL16-1</f>
        <v>-0.4959899631230491</v>
      </c>
    </row>
    <row r="18" spans="2:39">
      <c r="B18" s="536" t="s">
        <v>34</v>
      </c>
      <c r="C18" s="540">
        <f>'Revenue, EBITDA, capex breakout'!AH10</f>
        <v>55433.089851472148</v>
      </c>
      <c r="D18" s="540">
        <f>'Revenue, EBITDA, capex breakout'!AI10</f>
        <v>59157</v>
      </c>
      <c r="E18" s="540">
        <f>'Revenue, EBITDA, capex breakout'!AJ10</f>
        <v>62692.392380003388</v>
      </c>
      <c r="F18" s="540">
        <f>'Revenue, EBITDA, capex breakout'!AK10</f>
        <v>64888.432813095009</v>
      </c>
      <c r="G18" s="540">
        <f>'Revenue, EBITDA, capex breakout'!AL10</f>
        <v>64512.787317906987</v>
      </c>
      <c r="H18" s="540">
        <f>'Revenue, EBITDA, capex breakout'!AM10</f>
        <v>71660.353665636983</v>
      </c>
      <c r="I18" s="540">
        <f>'Revenue, EBITDA, capex breakout'!AN10</f>
        <v>76441.540934315999</v>
      </c>
      <c r="J18" s="540">
        <f>'Revenue, EBITDA, capex breakout'!AO10</f>
        <v>76017.490857259982</v>
      </c>
      <c r="K18" s="540">
        <f>'Revenue, EBITDA, capex breakout'!AP10</f>
        <v>81773.153924568993</v>
      </c>
      <c r="L18" s="540">
        <f>'Revenue, EBITDA, capex breakout'!AQ10</f>
        <v>85915.677568233965</v>
      </c>
      <c r="M18" s="540">
        <f>'Revenue, EBITDA, capex breakout'!AR10</f>
        <v>91053</v>
      </c>
      <c r="N18" s="540">
        <f>'Revenue, EBITDA, capex breakout'!AS10</f>
        <v>91871.379550050056</v>
      </c>
      <c r="O18" s="540">
        <f>'Revenue, EBITDA, capex breakout'!AT10</f>
        <v>97020.754476614995</v>
      </c>
      <c r="P18" s="540">
        <f>'Revenue, EBITDA, capex breakout'!AU10</f>
        <v>104451.814448598</v>
      </c>
      <c r="Q18" s="540">
        <f>'Revenue, EBITDA, capex breakout'!AV10</f>
        <v>110876.80381784689</v>
      </c>
      <c r="R18" s="540">
        <f>'Revenue, EBITDA, capex breakout'!AW10</f>
        <v>110314.79130590509</v>
      </c>
      <c r="S18" s="540">
        <f>'Revenue, EBITDA, capex breakout'!AX10</f>
        <v>113168.47988314697</v>
      </c>
      <c r="T18" s="540">
        <f>'Revenue, EBITDA, capex breakout'!AY10</f>
        <v>102767.63975801811</v>
      </c>
      <c r="U18" s="540">
        <f>'Revenue, EBITDA, capex breakout'!AZ10</f>
        <v>102972.35068890199</v>
      </c>
      <c r="V18" s="540">
        <f>'Revenue, EBITDA, capex breakout'!BA10</f>
        <v>92932.501927844976</v>
      </c>
      <c r="W18" s="540">
        <f>'Revenue, EBITDA, capex breakout'!BB10</f>
        <v>96369.348685824254</v>
      </c>
      <c r="X18" s="540">
        <f>'Revenue, EBITDA, capex breakout'!BC10</f>
        <v>101631.1571631609</v>
      </c>
      <c r="Y18" s="540"/>
      <c r="Z18" s="540"/>
      <c r="AA18" s="540">
        <f>SUMIFS($C18:Y18,$C$3:Y$3,AA$3)</f>
        <v>102767.63975801811</v>
      </c>
      <c r="AB18" s="540">
        <f>SUMIFS($C18:Y18,$C$3:Y$3,AB$3)</f>
        <v>96369.348685824254</v>
      </c>
      <c r="AC18" s="540">
        <f>SUMIFS($C18:Y18,$C$3:Y$3,AC$3)</f>
        <v>101631.1571631609</v>
      </c>
      <c r="AD18" s="543">
        <f>IFERROR(AC18/AA18-1,"")</f>
        <v>-1.1058759328648859E-2</v>
      </c>
      <c r="AE18" s="543">
        <f>IFERROR(AC18/AB18-1,"")</f>
        <v>5.460043622885502E-2</v>
      </c>
      <c r="AF18" s="539" cm="1">
        <f t="array" ref="AF18">_xll.VAData("BHARTI_IN", AF$4, "Revenue - Mobile services - Africa", "Consensus", "CD", "IMPL","","")</f>
        <v>99435.366925171766</v>
      </c>
      <c r="AG18" s="549">
        <f>AC18/AF18-1</f>
        <v>2.2082587975378321E-2</v>
      </c>
      <c r="AH18" s="538">
        <f>AC18-AA18</f>
        <v>-1136.4825948572106</v>
      </c>
      <c r="AL18" s="540">
        <f>IF(MONTH(AL$3)=3,SUMIFS($C18:Y18,$C$3:Y$3,"&lt;="&amp;AL$3,$C$3:Y$3,"&gt;"&amp;DATE(YEAR(AL$3)-1,3,31)),SUMIFS($C18:Y18,$C$3:Y$3,"&lt;="&amp;AL$3,$C$3:Y$3,"&gt;"&amp;EOMONTH(AL$3,-MONTH(AL$3)+3)))</f>
        <v>215936.11964116507</v>
      </c>
      <c r="AM18" s="540">
        <f>IF(MONTH(AM$3)=3,SUMIFS($C18:Y18,$C$3:Y$3,"&lt;="&amp;AM$3,$C$3:Y$3,"&gt;"&amp;DATE(YEAR(AM$3)-1,3,31)),SUMIFS($C18:Y18,$C$3:Y$3,"&lt;="&amp;AM$3,$C$3:Y$3,"&gt;"&amp;EOMONTH(AM$3,-MONTH(AM$3)+3)))</f>
        <v>198000.50584898517</v>
      </c>
    </row>
    <row r="19" spans="2:39">
      <c r="B19" s="561" t="s">
        <v>849</v>
      </c>
      <c r="C19" s="538"/>
      <c r="D19" s="538"/>
      <c r="E19" s="538"/>
      <c r="F19" s="538"/>
      <c r="G19" s="548">
        <f>IFERROR(G18/C18-1,"")</f>
        <v>0.16379562262834435</v>
      </c>
      <c r="H19" s="548">
        <f t="shared" ref="H19" si="65">IFERROR(H18/D18-1,"")</f>
        <v>0.21135881916995425</v>
      </c>
      <c r="I19" s="548">
        <f t="shared" ref="I19" si="66">IFERROR(I18/E18-1,"")</f>
        <v>0.21931127577607157</v>
      </c>
      <c r="J19" s="548">
        <f t="shared" ref="J19" si="67">IFERROR(J18/F18-1,"")</f>
        <v>0.17151066163396433</v>
      </c>
      <c r="K19" s="548">
        <f t="shared" ref="K19" si="68">IFERROR(K18/G18-1,"")</f>
        <v>0.26754954055241997</v>
      </c>
      <c r="L19" s="548">
        <f t="shared" ref="L19" si="69">IFERROR(L18/H18-1,"")</f>
        <v>0.19892901965166798</v>
      </c>
      <c r="M19" s="548">
        <f t="shared" ref="M19" si="70">IFERROR(M18/I18-1,"")</f>
        <v>0.19114553274428636</v>
      </c>
      <c r="N19" s="548">
        <f t="shared" ref="N19" si="71">IFERROR(N18/J18-1,"")</f>
        <v>0.20855580096111481</v>
      </c>
      <c r="O19" s="548">
        <f t="shared" ref="O19" si="72">IFERROR(O18/K18-1,"")</f>
        <v>0.18646218007087056</v>
      </c>
      <c r="P19" s="548">
        <f t="shared" ref="P19" si="73">IFERROR(P18/L18-1,"")</f>
        <v>0.21574801485610928</v>
      </c>
      <c r="Q19" s="548">
        <f t="shared" ref="Q19" si="74">IFERROR(Q18/M18-1,"")</f>
        <v>0.21771719567556125</v>
      </c>
      <c r="R19" s="548">
        <f t="shared" ref="R19" si="75">IFERROR(R18/N18-1,"")</f>
        <v>0.2007525286567331</v>
      </c>
      <c r="S19" s="548">
        <f t="shared" ref="S19" si="76">IFERROR(S18/O18-1,"")</f>
        <v>0.16643578473123566</v>
      </c>
      <c r="T19" s="548">
        <f t="shared" ref="T19:X19" si="77">IFERROR(T18/P18-1,"")</f>
        <v>-1.6123939057168801E-2</v>
      </c>
      <c r="U19" s="548">
        <f t="shared" si="77"/>
        <v>-7.1290412933715741E-2</v>
      </c>
      <c r="V19" s="548">
        <f t="shared" si="77"/>
        <v>-0.15756988860957621</v>
      </c>
      <c r="W19" s="548">
        <f t="shared" si="77"/>
        <v>-0.14844355260995634</v>
      </c>
      <c r="X19" s="548">
        <f t="shared" si="77"/>
        <v>-1.1058759328648859E-2</v>
      </c>
      <c r="Y19" s="548"/>
      <c r="Z19" s="548"/>
      <c r="AF19" s="581">
        <f>AF18/AA18-1</f>
        <v>-3.2425312488373548E-2</v>
      </c>
      <c r="AG19" s="549"/>
      <c r="AM19" s="548">
        <f>AM18/AL18-1</f>
        <v>-8.3059813346579858E-2</v>
      </c>
    </row>
    <row r="20" spans="2:39">
      <c r="B20" s="536" t="s">
        <v>819</v>
      </c>
      <c r="C20" s="538">
        <f>C22-C18-C16-C15-C13-C11-C9-C7</f>
        <v>-20246.654290078164</v>
      </c>
      <c r="D20" s="538">
        <f t="shared" ref="D20:U20" si="78">D22-D18-D16-D15-D13-D11-D9-D7</f>
        <v>-22118</v>
      </c>
      <c r="E20" s="538">
        <f t="shared" si="78"/>
        <v>-19335.514025242359</v>
      </c>
      <c r="F20" s="538">
        <f t="shared" si="78"/>
        <v>-27781.201435302006</v>
      </c>
      <c r="G20" s="538">
        <f t="shared" si="78"/>
        <v>-26142.390863964931</v>
      </c>
      <c r="H20" s="538">
        <f t="shared" si="78"/>
        <v>-27397.601210751905</v>
      </c>
      <c r="I20" s="538">
        <f t="shared" si="78"/>
        <v>-9893.4448945090116</v>
      </c>
      <c r="J20" s="538">
        <f t="shared" si="78"/>
        <v>-11026.574671484123</v>
      </c>
      <c r="K20" s="538">
        <f t="shared" si="78"/>
        <v>-9764.6869520290056</v>
      </c>
      <c r="L20" s="538">
        <f t="shared" si="78"/>
        <v>-10582.535307347978</v>
      </c>
      <c r="M20" s="538">
        <f t="shared" si="78"/>
        <v>-10475.508659906947</v>
      </c>
      <c r="N20" s="538">
        <f t="shared" si="78"/>
        <v>-11226.600691815111</v>
      </c>
      <c r="O20" s="538">
        <f t="shared" si="78"/>
        <v>-11448.494988934021</v>
      </c>
      <c r="P20" s="538">
        <f t="shared" si="78"/>
        <v>-12533.080087176058</v>
      </c>
      <c r="Q20" s="538">
        <f t="shared" si="78"/>
        <v>-12648.304719325854</v>
      </c>
      <c r="R20" s="538">
        <f t="shared" si="78"/>
        <v>-12628.90987545019</v>
      </c>
      <c r="S20" s="538">
        <f t="shared" si="78"/>
        <v>-13195.988621422905</v>
      </c>
      <c r="T20" s="538">
        <f t="shared" si="78"/>
        <v>-13605.495584031043</v>
      </c>
      <c r="U20" s="538">
        <f t="shared" si="78"/>
        <v>-13811.426306725974</v>
      </c>
      <c r="V20" s="538">
        <f t="shared" ref="V20:W20" si="79">V22-V18-V16-V15-V13-V11-V9-V7</f>
        <v>-14024.153186323994</v>
      </c>
      <c r="W20" s="538">
        <f t="shared" si="79"/>
        <v>-13726.498685824248</v>
      </c>
      <c r="X20" s="538">
        <f t="shared" ref="X20" si="80">X22-X18-X16-X15-X13-X11-X9-X7</f>
        <v>-13731.157163160911</v>
      </c>
      <c r="Y20" s="538"/>
      <c r="Z20" s="538"/>
      <c r="AA20" s="540">
        <f>SUMIFS($C20:Y20,$C$3:Y$3,AA$3)</f>
        <v>-13605.495584031043</v>
      </c>
      <c r="AB20" s="540">
        <f>SUMIFS($C20:Y20,$C$3:Y$3,AB$3)</f>
        <v>-13726.498685824248</v>
      </c>
      <c r="AC20" s="540">
        <f>SUMIFS($C20:Y20,$C$3:Y$3,AC$3)</f>
        <v>-13731.157163160911</v>
      </c>
      <c r="AD20" s="543">
        <f>IFERROR(AC20/AA20-1,"")</f>
        <v>9.2360898104555389E-3</v>
      </c>
      <c r="AE20" s="543">
        <f>IFERROR(AC20/AB20-1,"")</f>
        <v>3.3937841275388791E-4</v>
      </c>
      <c r="AF20" s="539"/>
      <c r="AG20" s="549"/>
      <c r="AM20" s="548"/>
    </row>
    <row r="21" spans="2:39">
      <c r="B21" s="561"/>
      <c r="C21" s="538"/>
      <c r="D21" s="538"/>
      <c r="E21" s="538"/>
      <c r="F21" s="538"/>
      <c r="G21" s="548"/>
      <c r="H21" s="548"/>
      <c r="I21" s="548"/>
      <c r="J21" s="548"/>
      <c r="K21" s="548"/>
      <c r="L21" s="548"/>
      <c r="M21" s="548"/>
      <c r="N21" s="548"/>
      <c r="O21" s="548"/>
      <c r="P21" s="548"/>
      <c r="Q21" s="548"/>
      <c r="R21" s="548"/>
      <c r="S21" s="548"/>
      <c r="T21" s="548"/>
      <c r="U21" s="548"/>
      <c r="V21" s="548"/>
      <c r="W21" s="548"/>
      <c r="X21" s="548"/>
      <c r="Y21" s="548"/>
      <c r="Z21" s="548"/>
      <c r="AF21" s="539"/>
      <c r="AG21" s="549"/>
      <c r="AM21" s="548"/>
    </row>
    <row r="22" spans="2:39" s="536" customFormat="1">
      <c r="B22" s="562" t="s">
        <v>211</v>
      </c>
      <c r="C22" s="563">
        <f>'Revenue, EBITDA, capex breakout'!AH13</f>
        <v>207379</v>
      </c>
      <c r="D22" s="563">
        <f>'Revenue, EBITDA, capex breakout'!AI13</f>
        <v>211313</v>
      </c>
      <c r="E22" s="563">
        <f>'Revenue, EBITDA, capex breakout'!AJ13</f>
        <v>219471</v>
      </c>
      <c r="F22" s="563">
        <f>'Revenue, EBITDA, capex breakout'!AK13</f>
        <v>230187</v>
      </c>
      <c r="G22" s="563">
        <f>'Revenue, EBITDA, capex breakout'!AL13</f>
        <v>232903</v>
      </c>
      <c r="H22" s="563">
        <f>'Revenue, EBITDA, capex breakout'!AM13</f>
        <v>250604</v>
      </c>
      <c r="I22" s="563">
        <f>'Revenue, EBITDA, capex breakout'!AN13</f>
        <v>265178</v>
      </c>
      <c r="J22" s="563">
        <f>'Revenue, EBITDA, capex breakout'!AO13</f>
        <v>257473</v>
      </c>
      <c r="K22" s="563">
        <f>'Revenue, EBITDA, capex breakout'!AP13</f>
        <v>268536</v>
      </c>
      <c r="L22" s="563">
        <f>'Revenue, EBITDA, capex breakout'!AQ13</f>
        <v>283264</v>
      </c>
      <c r="M22" s="563">
        <f>'Revenue, EBITDA, capex breakout'!AR13</f>
        <v>298666</v>
      </c>
      <c r="N22" s="563">
        <f>'Revenue, EBITDA, capex breakout'!AS13</f>
        <v>315003</v>
      </c>
      <c r="O22" s="563">
        <f>'Revenue, EBITDA, capex breakout'!AT13</f>
        <v>328046</v>
      </c>
      <c r="P22" s="563">
        <f>'Revenue, EBITDA, capex breakout'!AU13</f>
        <v>345268</v>
      </c>
      <c r="Q22" s="563">
        <f>'Revenue, EBITDA, capex breakout'!AV13</f>
        <v>358044</v>
      </c>
      <c r="R22" s="563">
        <f>'Revenue, EBITDA, capex breakout'!AW13</f>
        <v>360090</v>
      </c>
      <c r="S22" s="563">
        <f>'Revenue, EBITDA, capex breakout'!AX13</f>
        <v>374400</v>
      </c>
      <c r="T22" s="563">
        <f>'Revenue, EBITDA, capex breakout'!AY13</f>
        <v>370438</v>
      </c>
      <c r="U22" s="563">
        <f>'Revenue, EBITDA, capex breakout'!AZ13</f>
        <v>378995</v>
      </c>
      <c r="V22" s="563">
        <f>'Revenue, EBITDA, capex breakout'!BA13</f>
        <v>375991</v>
      </c>
      <c r="W22" s="563">
        <f>'Revenue, EBITDA, capex breakout'!BB13</f>
        <v>385064</v>
      </c>
      <c r="X22" s="563">
        <f>'Revenue, EBITDA, capex breakout'!BC13</f>
        <v>414733</v>
      </c>
      <c r="Y22" s="540"/>
      <c r="Z22" s="540"/>
      <c r="AA22" s="563">
        <f>SUMIFS($C22:Y22,$C$3:Y$3,AA$3)</f>
        <v>370438</v>
      </c>
      <c r="AB22" s="563">
        <f>SUMIFS($C22:Y22,$C$3:Y$3,AB$3)</f>
        <v>385064</v>
      </c>
      <c r="AC22" s="563">
        <f>SUMIFS($C22:Y22,$C$3:Y$3,AC$3)</f>
        <v>414733</v>
      </c>
      <c r="AD22" s="578">
        <f>IFERROR(AC22/AA22-1,"")</f>
        <v>0.11957466566604946</v>
      </c>
      <c r="AE22" s="578">
        <f>IFERROR(AC22/AB22-1,"")</f>
        <v>7.7049529428874219E-2</v>
      </c>
      <c r="AF22" s="579" cm="1">
        <f t="array" ref="AF22">_xll.VAData("BHARTI_IN", AF$4, "Revenue", "Consensus", "CD", "IMPL","","")</f>
        <v>413029.11079469899</v>
      </c>
      <c r="AG22" s="580">
        <f>AC22/AF22-1</f>
        <v>4.1253489421668732E-3</v>
      </c>
      <c r="AH22" s="538">
        <f>AC22-AA22</f>
        <v>44295</v>
      </c>
      <c r="AL22" s="540">
        <f>IF(MONTH(AL$3)=3,SUMIFS($C22:Y22,$C$3:Y$3,"&lt;="&amp;AL$3,$C$3:Y$3,"&gt;"&amp;DATE(YEAR(AL$3)-1,3,31)),SUMIFS($C22:Y22,$C$3:Y$3,"&lt;="&amp;AL$3,$C$3:Y$3,"&gt;"&amp;EOMONTH(AL$3,-MONTH(AL$3)+3)))</f>
        <v>744838</v>
      </c>
      <c r="AM22" s="540">
        <f>IF(MONTH(AM$3)=3,SUMIFS($C22:Y22,$C$3:Y$3,"&lt;="&amp;AM$3,$C$3:Y$3,"&gt;"&amp;DATE(YEAR(AM$3)-1,3,31)),SUMIFS($C22:Y22,$C$3:Y$3,"&lt;="&amp;AM$3,$C$3:Y$3,"&gt;"&amp;EOMONTH(AM$3,-MONTH(AM$3)+3)))</f>
        <v>799797</v>
      </c>
    </row>
    <row r="23" spans="2:39" s="536" customFormat="1">
      <c r="B23" s="561" t="s">
        <v>849</v>
      </c>
      <c r="C23" s="540"/>
      <c r="D23" s="540"/>
      <c r="E23" s="540"/>
      <c r="F23" s="540"/>
      <c r="G23" s="548">
        <f>IFERROR(G22/C22-1,"")</f>
        <v>0.12307900028450325</v>
      </c>
      <c r="H23" s="548">
        <f t="shared" ref="H23" si="81">IFERROR(H22/D22-1,"")</f>
        <v>0.18593744824028802</v>
      </c>
      <c r="I23" s="548">
        <f t="shared" ref="I23" si="82">IFERROR(I22/E22-1,"")</f>
        <v>0.2082598612117319</v>
      </c>
      <c r="J23" s="548">
        <f t="shared" ref="J23" si="83">IFERROR(J22/F22-1,"")</f>
        <v>0.11853840573099261</v>
      </c>
      <c r="K23" s="548">
        <f t="shared" ref="K23" si="84">IFERROR(K22/G22-1,"")</f>
        <v>0.15299502367938578</v>
      </c>
      <c r="L23" s="548">
        <f t="shared" ref="L23" si="85">IFERROR(L22/H22-1,"")</f>
        <v>0.13032513447510818</v>
      </c>
      <c r="M23" s="548">
        <f t="shared" ref="M23" si="86">IFERROR(M22/I22-1,"")</f>
        <v>0.12628498593397652</v>
      </c>
      <c r="N23" s="548">
        <f t="shared" ref="N23" si="87">IFERROR(N22/J22-1,"")</f>
        <v>0.22344090448318843</v>
      </c>
      <c r="O23" s="548">
        <f t="shared" ref="O23" si="88">IFERROR(O22/K22-1,"")</f>
        <v>0.22160902076444122</v>
      </c>
      <c r="P23" s="548">
        <f t="shared" ref="P23" si="89">IFERROR(P22/L22-1,"")</f>
        <v>0.21889121102575682</v>
      </c>
      <c r="Q23" s="548">
        <f t="shared" ref="Q23" si="90">IFERROR(Q22/M22-1,"")</f>
        <v>0.19881071163105268</v>
      </c>
      <c r="R23" s="548">
        <f t="shared" ref="R23" si="91">IFERROR(R22/N22-1,"")</f>
        <v>0.14313197017171264</v>
      </c>
      <c r="S23" s="548">
        <f t="shared" ref="S23" si="92">IFERROR(S22/O22-1,"")</f>
        <v>0.1413033537979429</v>
      </c>
      <c r="T23" s="548">
        <f t="shared" ref="T23:X23" si="93">IFERROR(T22/P22-1,"")</f>
        <v>7.2899892257608512E-2</v>
      </c>
      <c r="U23" s="548">
        <f t="shared" si="93"/>
        <v>5.8515154562009064E-2</v>
      </c>
      <c r="V23" s="548">
        <f t="shared" si="93"/>
        <v>4.4158404843233745E-2</v>
      </c>
      <c r="W23" s="548">
        <f t="shared" si="93"/>
        <v>2.8482905982905926E-2</v>
      </c>
      <c r="X23" s="548">
        <f t="shared" si="93"/>
        <v>0.11957466566604946</v>
      </c>
      <c r="Y23" s="548"/>
      <c r="Z23" s="548"/>
      <c r="AF23" s="581">
        <f>AF22/AA22-1</f>
        <v>0.11497500470982724</v>
      </c>
      <c r="AG23" s="550"/>
      <c r="AL23" s="537"/>
      <c r="AM23" s="548">
        <f>AM22/AL22-1</f>
        <v>7.3786514651508206E-2</v>
      </c>
    </row>
    <row r="24" spans="2:39">
      <c r="B24" s="561" t="s">
        <v>850</v>
      </c>
      <c r="T24" s="548">
        <f>T22/S22-1</f>
        <v>-1.0582264957264997E-2</v>
      </c>
      <c r="U24" s="548">
        <f>U22/T22-1</f>
        <v>2.3099681998067112E-2</v>
      </c>
      <c r="V24" s="548">
        <f>V22/U22-1</f>
        <v>-7.9262259396561952E-3</v>
      </c>
      <c r="W24" s="548">
        <f>W22/V22-1</f>
        <v>2.4130896750188091E-2</v>
      </c>
      <c r="X24" s="548">
        <f>X22/W22-1</f>
        <v>7.7049529428874219E-2</v>
      </c>
      <c r="Y24" s="548"/>
      <c r="Z24" s="548"/>
      <c r="AF24" s="542"/>
    </row>
    <row r="25" spans="2:39">
      <c r="T25" s="548"/>
      <c r="U25" s="548"/>
      <c r="V25" s="548"/>
      <c r="W25" s="548"/>
      <c r="X25" s="548"/>
      <c r="Y25" s="548"/>
      <c r="Z25" s="548"/>
      <c r="AF25" s="542"/>
    </row>
    <row r="26" spans="2:39" s="536" customFormat="1">
      <c r="B26" s="536" t="s">
        <v>865</v>
      </c>
      <c r="C26" s="540">
        <f>C22-C18</f>
        <v>151945.91014852785</v>
      </c>
      <c r="D26" s="540">
        <f t="shared" ref="D26:U26" si="94">D22-D18</f>
        <v>152156</v>
      </c>
      <c r="E26" s="540">
        <f t="shared" si="94"/>
        <v>156778.60761999662</v>
      </c>
      <c r="F26" s="540">
        <f t="shared" si="94"/>
        <v>165298.56718690498</v>
      </c>
      <c r="G26" s="540">
        <f t="shared" si="94"/>
        <v>168390.21268209303</v>
      </c>
      <c r="H26" s="540">
        <f t="shared" si="94"/>
        <v>178943.64633436303</v>
      </c>
      <c r="I26" s="540">
        <f t="shared" si="94"/>
        <v>188736.459065684</v>
      </c>
      <c r="J26" s="540">
        <f t="shared" si="94"/>
        <v>181455.50914274002</v>
      </c>
      <c r="K26" s="540">
        <f t="shared" si="94"/>
        <v>186762.84607543101</v>
      </c>
      <c r="L26" s="540">
        <f t="shared" si="94"/>
        <v>197348.32243176602</v>
      </c>
      <c r="M26" s="540">
        <f t="shared" si="94"/>
        <v>207613</v>
      </c>
      <c r="N26" s="540">
        <f t="shared" si="94"/>
        <v>223131.62044994993</v>
      </c>
      <c r="O26" s="540">
        <f t="shared" si="94"/>
        <v>231025.24552338501</v>
      </c>
      <c r="P26" s="540">
        <f t="shared" si="94"/>
        <v>240816.18555140198</v>
      </c>
      <c r="Q26" s="540">
        <f t="shared" si="94"/>
        <v>247167.19618215313</v>
      </c>
      <c r="R26" s="540">
        <f>R22-R18</f>
        <v>249775.20869409491</v>
      </c>
      <c r="S26" s="540">
        <f t="shared" si="94"/>
        <v>261231.52011685303</v>
      </c>
      <c r="T26" s="540">
        <f t="shared" si="94"/>
        <v>267670.36024198192</v>
      </c>
      <c r="U26" s="540">
        <f t="shared" si="94"/>
        <v>276022.64931109804</v>
      </c>
      <c r="V26" s="540">
        <f t="shared" ref="V26:AF26" si="95">V22-V18</f>
        <v>283058.49807215505</v>
      </c>
      <c r="W26" s="540">
        <f t="shared" ref="W26:X26" si="96">W22-W18</f>
        <v>288694.65131417575</v>
      </c>
      <c r="X26" s="540">
        <f t="shared" si="96"/>
        <v>313101.84283683909</v>
      </c>
      <c r="Y26" s="540"/>
      <c r="Z26" s="540"/>
      <c r="AA26" s="540">
        <f t="shared" ref="AA26:AC26" si="97">AA22-AA18</f>
        <v>267670.36024198192</v>
      </c>
      <c r="AB26" s="540">
        <f t="shared" si="97"/>
        <v>288694.65131417575</v>
      </c>
      <c r="AC26" s="540">
        <f t="shared" si="97"/>
        <v>313101.84283683909</v>
      </c>
      <c r="AD26" s="582">
        <f>IFERROR(AC26/AA26-1,"")</f>
        <v>0.16972922423605574</v>
      </c>
      <c r="AE26" s="582">
        <f>IFERROR(AC26/AB26-1,"")</f>
        <v>8.4543275781378879E-2</v>
      </c>
      <c r="AF26" s="540">
        <f t="shared" si="95"/>
        <v>313593.74386952724</v>
      </c>
      <c r="AG26" s="550">
        <f>AC26/AF26-1</f>
        <v>-1.5685932589676321E-3</v>
      </c>
      <c r="AH26" s="538">
        <f>AC26-AA26</f>
        <v>45431.482594857167</v>
      </c>
      <c r="AL26" s="540">
        <f t="shared" ref="AL26:AM26" si="98">AL22-AL18</f>
        <v>528901.88035883498</v>
      </c>
      <c r="AM26" s="540">
        <f t="shared" si="98"/>
        <v>601796.49415101483</v>
      </c>
    </row>
    <row r="27" spans="2:39">
      <c r="B27" s="561" t="s">
        <v>849</v>
      </c>
      <c r="G27" s="548">
        <f>IFERROR(G26/C26-1,"")</f>
        <v>0.10822471310672843</v>
      </c>
      <c r="H27" s="548">
        <f t="shared" ref="H27" si="99">IFERROR(H26/D26-1,"")</f>
        <v>0.17605382853363016</v>
      </c>
      <c r="I27" s="548">
        <f t="shared" ref="I27" si="100">IFERROR(I26/E26-1,"")</f>
        <v>0.20384063827858134</v>
      </c>
      <c r="J27" s="548">
        <f t="shared" ref="J27" si="101">IFERROR(J26/F26-1,"")</f>
        <v>9.7743992768952515E-2</v>
      </c>
      <c r="K27" s="548">
        <f t="shared" ref="K27" si="102">IFERROR(K26/G26-1,"")</f>
        <v>0.10910748968542494</v>
      </c>
      <c r="L27" s="548">
        <f t="shared" ref="L27" si="103">IFERROR(L26/H26-1,"")</f>
        <v>0.10285179985107229</v>
      </c>
      <c r="M27" s="548">
        <f t="shared" ref="M27" si="104">IFERROR(M26/I26-1,"")</f>
        <v>0.10001533899577186</v>
      </c>
      <c r="N27" s="548">
        <f t="shared" ref="N27" si="105">IFERROR(N26/J26-1,"")</f>
        <v>0.22967674833408247</v>
      </c>
      <c r="O27" s="548">
        <f t="shared" ref="O27" si="106">IFERROR(O26/K26-1,"")</f>
        <v>0.23699788463320481</v>
      </c>
      <c r="P27" s="548">
        <f t="shared" ref="P27" si="107">IFERROR(P26/L26-1,"")</f>
        <v>0.22025960283835277</v>
      </c>
      <c r="Q27" s="548">
        <f t="shared" ref="Q27" si="108">IFERROR(Q26/M26-1,"")</f>
        <v>0.19051887975296888</v>
      </c>
      <c r="R27" s="548">
        <f t="shared" ref="R27" si="109">IFERROR(R26/N26-1,"")</f>
        <v>0.1194074967519958</v>
      </c>
      <c r="S27" s="548">
        <f t="shared" ref="S27" si="110">IFERROR(S26/O26-1,"")</f>
        <v>0.13074880420551471</v>
      </c>
      <c r="T27" s="548">
        <f t="shared" ref="T27" si="111">IFERROR(T26/P26-1,"")</f>
        <v>0.11151316357366658</v>
      </c>
      <c r="U27" s="548">
        <f t="shared" ref="U27:X27" si="112">IFERROR(U26/Q26-1,"")</f>
        <v>0.11674467152056667</v>
      </c>
      <c r="V27" s="548">
        <f t="shared" si="112"/>
        <v>0.13325297395236246</v>
      </c>
      <c r="W27" s="548">
        <f t="shared" si="112"/>
        <v>0.10512946977086846</v>
      </c>
      <c r="X27" s="548">
        <f t="shared" si="112"/>
        <v>0.16972922423605574</v>
      </c>
      <c r="Y27" s="548"/>
      <c r="Z27" s="548"/>
      <c r="AF27" s="581">
        <f>AF26/AA26-1</f>
        <v>0.17156693623466279</v>
      </c>
      <c r="AM27" s="548">
        <f>AM26/AL26-1</f>
        <v>0.13782256501475154</v>
      </c>
    </row>
    <row r="28" spans="2:39">
      <c r="T28" s="548"/>
      <c r="U28" s="548"/>
      <c r="V28" s="548"/>
      <c r="W28" s="548"/>
      <c r="X28" s="548"/>
      <c r="Y28" s="548"/>
      <c r="Z28" s="548"/>
      <c r="AF28" s="542"/>
    </row>
    <row r="29" spans="2:39">
      <c r="T29" s="548"/>
      <c r="U29" s="548"/>
      <c r="V29" s="548"/>
      <c r="W29" s="548"/>
      <c r="X29" s="548"/>
      <c r="Y29" s="548"/>
      <c r="Z29" s="548"/>
      <c r="AF29" s="542"/>
    </row>
    <row r="30" spans="2:39">
      <c r="B30" s="557" t="s">
        <v>37</v>
      </c>
      <c r="AF30" s="542"/>
    </row>
    <row r="31" spans="2:39">
      <c r="B31" s="536" t="s">
        <v>741</v>
      </c>
      <c r="C31" s="540">
        <f>'Revenue, EBITDA, capex breakout'!AH16</f>
        <v>38741.974539450006</v>
      </c>
      <c r="D31" s="540">
        <f>'Revenue, EBITDA, capex breakout'!AI16</f>
        <v>39913</v>
      </c>
      <c r="E31" s="540">
        <f>'Revenue, EBITDA, capex breakout'!AJ16</f>
        <v>40109.023235999979</v>
      </c>
      <c r="F31" s="540">
        <f>'Revenue, EBITDA, capex breakout'!AK16</f>
        <v>50795.573455490055</v>
      </c>
      <c r="G31" s="540">
        <f>'Revenue, EBITDA, capex breakout'!AL16</f>
        <v>52227.34835800001</v>
      </c>
      <c r="H31" s="540">
        <f>'Revenue, EBITDA, capex breakout'!AM16</f>
        <v>58919.083494999948</v>
      </c>
      <c r="I31" s="540">
        <f>'Revenue, EBITDA, capex breakout'!AN16</f>
        <v>64598.766257000018</v>
      </c>
      <c r="J31" s="540">
        <f>'Revenue, EBITDA, capex breakout'!AO16</f>
        <v>66896.953566000127</v>
      </c>
      <c r="K31" s="540">
        <f>'Revenue, EBITDA, capex breakout'!AP16</f>
        <v>70335.220085719993</v>
      </c>
      <c r="L31" s="540">
        <f>'Revenue, EBITDA, capex breakout'!AQ16</f>
        <v>74679</v>
      </c>
      <c r="M31" s="540">
        <f>'Revenue, EBITDA, capex breakout'!AR16</f>
        <v>78962.476355852035</v>
      </c>
      <c r="N31" s="540">
        <f>'Revenue, EBITDA, capex breakout'!AS16</f>
        <v>88599.264398901811</v>
      </c>
      <c r="O31" s="540">
        <f>'Revenue, EBITDA, capex breakout'!AT16</f>
        <v>92666.831511270284</v>
      </c>
      <c r="P31" s="540">
        <f>'Revenue, EBITDA, capex breakout'!AU16</f>
        <v>98736.162186745802</v>
      </c>
      <c r="Q31" s="540">
        <f>'Revenue, EBITDA, capex breakout'!AV16</f>
        <v>104121.31686903587</v>
      </c>
      <c r="R31" s="540">
        <f>'Revenue, EBITDA, capex breakout'!AW16</f>
        <v>105226.97681459524</v>
      </c>
      <c r="S31" s="540">
        <f>'Revenue, EBITDA, capex breakout'!AX16</f>
        <v>111664.93428699998</v>
      </c>
      <c r="T31" s="540">
        <f>'Revenue, EBITDA, capex breakout'!AY16</f>
        <v>115039.43971699997</v>
      </c>
      <c r="U31" s="540">
        <f>'Revenue, EBITDA, capex breakout'!AZ16</f>
        <v>119239.74851200011</v>
      </c>
      <c r="V31" s="540">
        <f>'Revenue, EBITDA, capex breakout'!BA16</f>
        <v>121607.10500399992</v>
      </c>
      <c r="W31" s="540">
        <f>'Revenue, EBITDA, capex breakout'!BB16</f>
        <v>125274</v>
      </c>
      <c r="X31" s="540">
        <f>'Revenue, EBITDA, capex breakout'!BC16</f>
        <v>141710</v>
      </c>
      <c r="Y31" s="540"/>
      <c r="Z31" s="540"/>
      <c r="AA31" s="540">
        <f>SUMIFS($C31:Y31,$C$3:Y$3,AA$3)</f>
        <v>115039.43971699997</v>
      </c>
      <c r="AB31" s="540">
        <f>SUMIFS($C31:Y31,$C$3:Y$3,AB$3)</f>
        <v>125274</v>
      </c>
      <c r="AC31" s="540">
        <f>SUMIFS($C31:Y31,$C$3:Y$3,AC$3)</f>
        <v>141710</v>
      </c>
      <c r="AD31" s="543">
        <f>IFERROR(AC31/AA31-1,"")</f>
        <v>0.23183840558168844</v>
      </c>
      <c r="AE31" s="543">
        <f>IFERROR(AC31/AB31-1,"")</f>
        <v>0.13120040870412053</v>
      </c>
      <c r="AF31" s="539" cm="1">
        <f t="array" ref="AF31">_xll.VAData("BHARTI_IN", AF$4, "EBITDA - Mobile - India", "Consensus", "CD", "IMPL","","")</f>
        <v>139801.94101875401</v>
      </c>
      <c r="AG31" s="549">
        <f>AC31/AF31-1</f>
        <v>1.3648301070369406E-2</v>
      </c>
      <c r="AH31" s="538">
        <f>AC31-AA31</f>
        <v>26670.560283000028</v>
      </c>
      <c r="AL31" s="540">
        <f>IF(MONTH(AL$3)=3,SUMIFS($C31:Y31,$C$3:Y$3,"&lt;="&amp;AL$3,$C$3:Y$3,"&gt;"&amp;DATE(YEAR(AL$3)-1,3,31)),SUMIFS($C31:Y31,$C$3:Y$3,"&lt;="&amp;AL$3,$C$3:Y$3,"&gt;"&amp;EOMONTH(AL$3,-MONTH(AL$3)+3)))</f>
        <v>226704.37400399995</v>
      </c>
      <c r="AM31" s="540">
        <f>IF(MONTH(AM$3)=3,SUMIFS($C31:Y31,$C$3:Y$3,"&lt;="&amp;AM$3,$C$3:Y$3,"&gt;"&amp;DATE(YEAR(AM$3)-1,3,31)),SUMIFS($C31:Y31,$C$3:Y$3,"&lt;="&amp;AM$3,$C$3:Y$3,"&gt;"&amp;EOMONTH(AM$3,-MONTH(AM$3)+3)))</f>
        <v>266984</v>
      </c>
    </row>
    <row r="32" spans="2:39">
      <c r="B32" s="561" t="s">
        <v>849</v>
      </c>
      <c r="C32" s="538"/>
      <c r="D32" s="538"/>
      <c r="E32" s="538"/>
      <c r="F32" s="538"/>
      <c r="G32" s="548">
        <f>IFERROR(G31/C31-1,"")</f>
        <v>0.34808173767235795</v>
      </c>
      <c r="H32" s="548">
        <f t="shared" ref="H32" si="113">IFERROR(H31/D31-1,"")</f>
        <v>0.47618779583093107</v>
      </c>
      <c r="I32" s="548">
        <f t="shared" ref="I32" si="114">IFERROR(I31/E31-1,"")</f>
        <v>0.61057939199624278</v>
      </c>
      <c r="J32" s="548">
        <f t="shared" ref="J32" si="115">IFERROR(J31/F31-1,"")</f>
        <v>0.31698392232187333</v>
      </c>
      <c r="K32" s="548">
        <f t="shared" ref="K32" si="116">IFERROR(K31/G31-1,"")</f>
        <v>0.34671244658252465</v>
      </c>
      <c r="L32" s="548">
        <f t="shared" ref="L32" si="117">IFERROR(L31/H31-1,"")</f>
        <v>0.26748407426156739</v>
      </c>
      <c r="M32" s="548">
        <f t="shared" ref="M32" si="118">IFERROR(M31/I31-1,"")</f>
        <v>0.22235270007645913</v>
      </c>
      <c r="N32" s="548">
        <f t="shared" ref="N32" si="119">IFERROR(N31/J31-1,"")</f>
        <v>0.32441403795002888</v>
      </c>
      <c r="O32" s="548">
        <f t="shared" ref="O32" si="120">IFERROR(O31/K31-1,"")</f>
        <v>0.3175025456426237</v>
      </c>
      <c r="P32" s="548">
        <f t="shared" ref="P32" si="121">IFERROR(P31/L31-1,"")</f>
        <v>0.32214092565173336</v>
      </c>
      <c r="Q32" s="548">
        <f t="shared" ref="Q32" si="122">IFERROR(Q31/M31-1,"")</f>
        <v>0.31861767353651738</v>
      </c>
      <c r="R32" s="548">
        <f t="shared" ref="R32" si="123">IFERROR(R31/N31-1,"")</f>
        <v>0.18767325585041239</v>
      </c>
      <c r="S32" s="548">
        <f t="shared" ref="S32" si="124">IFERROR(S31/O31-1,"")</f>
        <v>0.205015132878684</v>
      </c>
      <c r="T32" s="548">
        <f t="shared" ref="T32:X32" si="125">IFERROR(T31/P31-1,"")</f>
        <v>0.16511961949076737</v>
      </c>
      <c r="U32" s="548">
        <f t="shared" si="125"/>
        <v>0.14520015783108331</v>
      </c>
      <c r="V32" s="548">
        <f t="shared" si="125"/>
        <v>0.15566472291858835</v>
      </c>
      <c r="W32" s="548">
        <f t="shared" si="125"/>
        <v>0.12187412100223116</v>
      </c>
      <c r="X32" s="548">
        <f t="shared" si="125"/>
        <v>0.23183840558168844</v>
      </c>
      <c r="Y32" s="548"/>
      <c r="Z32" s="548"/>
      <c r="AA32" s="538"/>
      <c r="AB32" s="538"/>
      <c r="AC32" s="538"/>
      <c r="AD32" s="538"/>
      <c r="AE32" s="538"/>
      <c r="AF32" s="581">
        <f>AF31/AA31-1</f>
        <v>0.21525227663373903</v>
      </c>
      <c r="AG32" s="549"/>
      <c r="AM32" s="548">
        <f>AM31/AL31-1</f>
        <v>0.17767467510481016</v>
      </c>
    </row>
    <row r="33" spans="2:39">
      <c r="B33" s="536" t="s">
        <v>742</v>
      </c>
      <c r="C33" s="540">
        <f>'Revenue, EBITDA, capex breakout'!AH17</f>
        <v>2523.984344</v>
      </c>
      <c r="D33" s="540">
        <f>'Revenue, EBITDA, capex breakout'!AI17</f>
        <v>2471</v>
      </c>
      <c r="E33" s="540">
        <f>'Revenue, EBITDA, capex breakout'!AJ17</f>
        <v>3302.3405690000022</v>
      </c>
      <c r="F33" s="540">
        <f>'Revenue, EBITDA, capex breakout'!AK17</f>
        <v>3011.8007570000013</v>
      </c>
      <c r="G33" s="540">
        <f>'Revenue, EBITDA, capex breakout'!AL17</f>
        <v>3513.7932100000003</v>
      </c>
      <c r="H33" s="540">
        <f>'Revenue, EBITDA, capex breakout'!AM17</f>
        <v>3424.4684389999989</v>
      </c>
      <c r="I33" s="540">
        <f>'Revenue, EBITDA, capex breakout'!AN17</f>
        <v>3150.9537069999983</v>
      </c>
      <c r="J33" s="540">
        <f>'Revenue, EBITDA, capex breakout'!AO17</f>
        <v>3344.5646820000015</v>
      </c>
      <c r="K33" s="540">
        <f>'Revenue, EBITDA, capex breakout'!AP17</f>
        <v>3229.5170680000001</v>
      </c>
      <c r="L33" s="540">
        <f>'Revenue, EBITDA, capex breakout'!AQ17</f>
        <v>3779</v>
      </c>
      <c r="M33" s="540">
        <f>'Revenue, EBITDA, capex breakout'!AR17</f>
        <v>4357.5205129999968</v>
      </c>
      <c r="N33" s="540">
        <f>'Revenue, EBITDA, capex breakout'!AS17</f>
        <v>4773.5691250000027</v>
      </c>
      <c r="O33" s="540">
        <f>'Revenue, EBITDA, capex breakout'!AT17</f>
        <v>4927.0859599999994</v>
      </c>
      <c r="P33" s="540">
        <f>'Revenue, EBITDA, capex breakout'!AU17</f>
        <v>4983.1787260000028</v>
      </c>
      <c r="Q33" s="540">
        <f>'Revenue, EBITDA, capex breakout'!AV17</f>
        <v>5172.8987422755572</v>
      </c>
      <c r="R33" s="540">
        <f>'Revenue, EBITDA, capex breakout'!AW17</f>
        <v>5526.1887403925384</v>
      </c>
      <c r="S33" s="540">
        <f>'Revenue, EBITDA, capex breakout'!AX17</f>
        <v>5860.4299759999994</v>
      </c>
      <c r="T33" s="540">
        <f>'Revenue, EBITDA, capex breakout'!AY17</f>
        <v>6073.4301899999991</v>
      </c>
      <c r="U33" s="540">
        <f>'Revenue, EBITDA, capex breakout'!AZ17</f>
        <v>6383.5626940000038</v>
      </c>
      <c r="V33" s="540">
        <f>'Revenue, EBITDA, capex breakout'!BA17</f>
        <v>6565.5190680000014</v>
      </c>
      <c r="W33" s="540">
        <f>'Revenue, EBITDA, capex breakout'!BB17</f>
        <v>6867</v>
      </c>
      <c r="X33" s="540">
        <f>'Revenue, EBITDA, capex breakout'!BC17</f>
        <v>7203</v>
      </c>
      <c r="Y33" s="540"/>
      <c r="Z33" s="540"/>
      <c r="AA33" s="540">
        <f>SUMIFS($C33:Y33,$C$3:Y$3,AA$3)</f>
        <v>6073.4301899999991</v>
      </c>
      <c r="AB33" s="540">
        <f>SUMIFS($C33:Y33,$C$3:Y$3,AB$3)</f>
        <v>6867</v>
      </c>
      <c r="AC33" s="540">
        <f>SUMIFS($C33:Y33,$C$3:Y$3,AC$3)</f>
        <v>7203</v>
      </c>
      <c r="AD33" s="543">
        <f>IFERROR(AC33/AA33-1,"")</f>
        <v>0.18598547684961542</v>
      </c>
      <c r="AE33" s="543">
        <f>IFERROR(AC33/AB33-1,"")</f>
        <v>4.8929663608562768E-2</v>
      </c>
      <c r="AF33" s="539" cm="1">
        <f t="array" ref="AF33">_xll.VAData("BHARTI_IN", AF$4, "EBITDA - Home services", "Consensus", "CD", "IMPL","","")</f>
        <v>7215.1388170512964</v>
      </c>
      <c r="AG33" s="549">
        <f>AC33/AF33-1</f>
        <v>-1.6824093560902087E-3</v>
      </c>
      <c r="AH33" s="538">
        <f>AC33-AA33</f>
        <v>1129.5698100000009</v>
      </c>
      <c r="AL33" s="540">
        <f>IF(MONTH(AL$3)=3,SUMIFS($C33:Y33,$C$3:Y$3,"&lt;="&amp;AL$3,$C$3:Y$3,"&gt;"&amp;DATE(YEAR(AL$3)-1,3,31)),SUMIFS($C33:Y33,$C$3:Y$3,"&lt;="&amp;AL$3,$C$3:Y$3,"&gt;"&amp;EOMONTH(AL$3,-MONTH(AL$3)+3)))</f>
        <v>11933.860165999999</v>
      </c>
      <c r="AM33" s="540">
        <f>IF(MONTH(AM$3)=3,SUMIFS($C33:Y33,$C$3:Y$3,"&lt;="&amp;AM$3,$C$3:Y$3,"&gt;"&amp;DATE(YEAR(AM$3)-1,3,31)),SUMIFS($C33:Y33,$C$3:Y$3,"&lt;="&amp;AM$3,$C$3:Y$3,"&gt;"&amp;EOMONTH(AM$3,-MONTH(AM$3)+3)))</f>
        <v>14070</v>
      </c>
    </row>
    <row r="34" spans="2:39">
      <c r="B34" s="561" t="s">
        <v>849</v>
      </c>
      <c r="C34" s="538"/>
      <c r="D34" s="538"/>
      <c r="E34" s="538"/>
      <c r="F34" s="538"/>
      <c r="G34" s="548">
        <f>IFERROR(G33/C33-1,"")</f>
        <v>0.39216125423003034</v>
      </c>
      <c r="H34" s="548">
        <f t="shared" ref="H34" si="126">IFERROR(H33/D33-1,"")</f>
        <v>0.38586339093484368</v>
      </c>
      <c r="I34" s="548">
        <f t="shared" ref="I34" si="127">IFERROR(I33/E33-1,"")</f>
        <v>-4.5842292409545737E-2</v>
      </c>
      <c r="J34" s="548">
        <f t="shared" ref="J34" si="128">IFERROR(J33/F33-1,"")</f>
        <v>0.11048669943607425</v>
      </c>
      <c r="K34" s="548">
        <f t="shared" ref="K34" si="129">IFERROR(K33/G33-1,"")</f>
        <v>-8.0902923140431571E-2</v>
      </c>
      <c r="L34" s="548">
        <f t="shared" ref="L34" si="130">IFERROR(L33/H33-1,"")</f>
        <v>0.10352893224605975</v>
      </c>
      <c r="M34" s="548">
        <f t="shared" ref="M34" si="131">IFERROR(M33/I33-1,"")</f>
        <v>0.38292114648322229</v>
      </c>
      <c r="N34" s="548">
        <f t="shared" ref="N34" si="132">IFERROR(N33/J33-1,"")</f>
        <v>0.42726171531102719</v>
      </c>
      <c r="O34" s="548">
        <f t="shared" ref="O34" si="133">IFERROR(O33/K33-1,"")</f>
        <v>0.52564171554333439</v>
      </c>
      <c r="P34" s="548">
        <f t="shared" ref="P34" si="134">IFERROR(P33/L33-1,"")</f>
        <v>0.31865009949722234</v>
      </c>
      <c r="Q34" s="548">
        <f t="shared" ref="Q34" si="135">IFERROR(Q33/M33-1,"")</f>
        <v>0.18711976841944966</v>
      </c>
      <c r="R34" s="548">
        <f t="shared" ref="R34" si="136">IFERROR(R33/N33-1,"")</f>
        <v>0.15766391890104559</v>
      </c>
      <c r="S34" s="548">
        <f t="shared" ref="S34" si="137">IFERROR(S33/O33-1,"")</f>
        <v>0.18943124264062972</v>
      </c>
      <c r="T34" s="548">
        <f t="shared" ref="T34:X34" si="138">IFERROR(T33/P33-1,"")</f>
        <v>0.21878634581407863</v>
      </c>
      <c r="U34" s="548">
        <f t="shared" si="138"/>
        <v>0.23403975450558989</v>
      </c>
      <c r="V34" s="548">
        <f t="shared" si="138"/>
        <v>0.18807362115786819</v>
      </c>
      <c r="W34" s="548">
        <f t="shared" si="138"/>
        <v>0.17175702604112142</v>
      </c>
      <c r="X34" s="548">
        <f t="shared" si="138"/>
        <v>0.18598547684961542</v>
      </c>
      <c r="Y34" s="548"/>
      <c r="Z34" s="548"/>
      <c r="AA34" s="548"/>
      <c r="AB34" s="548"/>
      <c r="AC34" s="548"/>
      <c r="AD34" s="548"/>
      <c r="AE34" s="548"/>
      <c r="AF34" s="581">
        <f>AF33/AA33-1</f>
        <v>0.18798415250267286</v>
      </c>
      <c r="AG34" s="549"/>
      <c r="AM34" s="548">
        <f>AM33/AL33-1</f>
        <v>0.17899822892897155</v>
      </c>
    </row>
    <row r="35" spans="2:39">
      <c r="B35" s="536" t="s">
        <v>743</v>
      </c>
      <c r="C35" s="540">
        <f>'Revenue, EBITDA, capex breakout'!AH18</f>
        <v>5263.1006560000005</v>
      </c>
      <c r="D35" s="540">
        <f>'Revenue, EBITDA, capex breakout'!AI18</f>
        <v>5607</v>
      </c>
      <c r="E35" s="540">
        <f>'Revenue, EBITDA, capex breakout'!AJ18</f>
        <v>5440.677483999998</v>
      </c>
      <c r="F35" s="540">
        <f>'Revenue, EBITDA, capex breakout'!AK18</f>
        <v>3648.1673410000021</v>
      </c>
      <c r="G35" s="540">
        <f>'Revenue, EBITDA, capex breakout'!AL18</f>
        <v>5041.1498350000002</v>
      </c>
      <c r="H35" s="540">
        <f>'Revenue, EBITDA, capex breakout'!AM18</f>
        <v>5350.9237969999995</v>
      </c>
      <c r="I35" s="540">
        <f>'Revenue, EBITDA, capex breakout'!AN18</f>
        <v>5291.4703479999989</v>
      </c>
      <c r="J35" s="540">
        <f>'Revenue, EBITDA, capex breakout'!AO18</f>
        <v>5105.0719160000044</v>
      </c>
      <c r="K35" s="540">
        <f>'Revenue, EBITDA, capex breakout'!AP18</f>
        <v>5420.7716569999993</v>
      </c>
      <c r="L35" s="540">
        <f>'Revenue, EBITDA, capex breakout'!AQ18</f>
        <v>5314</v>
      </c>
      <c r="M35" s="540">
        <f>'Revenue, EBITDA, capex breakout'!AR18</f>
        <v>5318.8595919999971</v>
      </c>
      <c r="N35" s="540">
        <f>'Revenue, EBITDA, capex breakout'!AS18</f>
        <v>4952.0216600000058</v>
      </c>
      <c r="O35" s="540">
        <f>'Revenue, EBITDA, capex breakout'!AT18</f>
        <v>4779.2623769999991</v>
      </c>
      <c r="P35" s="540">
        <f>'Revenue, EBITDA, capex breakout'!AU18</f>
        <v>4351.539568000002</v>
      </c>
      <c r="Q35" s="540">
        <f>'Revenue, EBITDA, capex breakout'!AV18</f>
        <v>4132.1344969999991</v>
      </c>
      <c r="R35" s="540">
        <f>'Revenue, EBITDA, capex breakout'!AW18</f>
        <v>4081.3691570000028</v>
      </c>
      <c r="S35" s="540">
        <f>'Revenue, EBITDA, capex breakout'!AX18</f>
        <v>4263.8057280000003</v>
      </c>
      <c r="T35" s="540">
        <f>'Revenue, EBITDA, capex breakout'!AY18</f>
        <v>4212.1457589999982</v>
      </c>
      <c r="U35" s="540">
        <f>'Revenue, EBITDA, capex breakout'!AZ18</f>
        <v>4285.0463120000013</v>
      </c>
      <c r="V35" s="540">
        <f>'Revenue, EBITDA, capex breakout'!BA18</f>
        <v>4391.1461019999979</v>
      </c>
      <c r="W35" s="540">
        <f>'Revenue, EBITDA, capex breakout'!BB18</f>
        <v>4402</v>
      </c>
      <c r="X35" s="540">
        <f>'Revenue, EBITDA, capex breakout'!BC18</f>
        <v>4243</v>
      </c>
      <c r="Y35" s="540"/>
      <c r="Z35" s="540"/>
      <c r="AA35" s="540">
        <f>SUMIFS($C35:Y35,$C$3:Y$3,AA$3)</f>
        <v>4212.1457589999982</v>
      </c>
      <c r="AB35" s="540">
        <f>SUMIFS($C35:Y35,$C$3:Y$3,AB$3)</f>
        <v>4402</v>
      </c>
      <c r="AC35" s="540">
        <f>SUMIFS($C35:Y35,$C$3:Y$3,AC$3)</f>
        <v>4243</v>
      </c>
      <c r="AD35" s="543">
        <f>IFERROR(AC35/AA35-1,"")</f>
        <v>7.3250648874332303E-3</v>
      </c>
      <c r="AE35" s="543">
        <f>IFERROR(AC35/AB35-1,"")</f>
        <v>-3.611994547932762E-2</v>
      </c>
      <c r="AF35" s="539" cm="1">
        <f t="array" ref="AF35">_xll.VAData("BHARTI_IN", AF$4, "EBITDA - Digital TV services", "Consensus", "CD", "IMPL","","")</f>
        <v>4418.1643361440365</v>
      </c>
      <c r="AG35" s="549">
        <f>AC35/AF35-1</f>
        <v>-3.9646405795967232E-2</v>
      </c>
      <c r="AH35" s="538">
        <f>AC35-AA35</f>
        <v>30.854241000001821</v>
      </c>
      <c r="AL35" s="540">
        <f>IF(MONTH(AL$3)=3,SUMIFS($C35:Y35,$C$3:Y$3,"&lt;="&amp;AL$3,$C$3:Y$3,"&gt;"&amp;DATE(YEAR(AL$3)-1,3,31)),SUMIFS($C35:Y35,$C$3:Y$3,"&lt;="&amp;AL$3,$C$3:Y$3,"&gt;"&amp;EOMONTH(AL$3,-MONTH(AL$3)+3)))</f>
        <v>8475.9514869999985</v>
      </c>
      <c r="AM35" s="540">
        <f>IF(MONTH(AM$3)=3,SUMIFS($C35:Y35,$C$3:Y$3,"&lt;="&amp;AM$3,$C$3:Y$3,"&gt;"&amp;DATE(YEAR(AM$3)-1,3,31)),SUMIFS($C35:Y35,$C$3:Y$3,"&lt;="&amp;AM$3,$C$3:Y$3,"&gt;"&amp;EOMONTH(AM$3,-MONTH(AM$3)+3)))</f>
        <v>8645</v>
      </c>
    </row>
    <row r="36" spans="2:39">
      <c r="B36" s="561" t="s">
        <v>849</v>
      </c>
      <c r="C36" s="538"/>
      <c r="D36" s="538"/>
      <c r="E36" s="538"/>
      <c r="F36" s="538"/>
      <c r="G36" s="548">
        <f>IFERROR(G35/C35-1,"")</f>
        <v>-4.2171114616053162E-2</v>
      </c>
      <c r="H36" s="548">
        <f t="shared" ref="H36" si="139">IFERROR(H35/D35-1,"")</f>
        <v>-4.5670804886748795E-2</v>
      </c>
      <c r="I36" s="548">
        <f t="shared" ref="I36" si="140">IFERROR(I35/E35-1,"")</f>
        <v>-2.7424366990836946E-2</v>
      </c>
      <c r="J36" s="548">
        <f t="shared" ref="J36" si="141">IFERROR(J35/F35-1,"")</f>
        <v>0.3993524525661285</v>
      </c>
      <c r="K36" s="548">
        <f t="shared" ref="K36" si="142">IFERROR(K35/G35-1,"")</f>
        <v>7.5304609945202827E-2</v>
      </c>
      <c r="L36" s="548">
        <f t="shared" ref="L36" si="143">IFERROR(L35/H35-1,"")</f>
        <v>-6.9004527817609906E-3</v>
      </c>
      <c r="M36" s="548">
        <f t="shared" ref="M36" si="144">IFERROR(M35/I35-1,"")</f>
        <v>5.1761121576257008E-3</v>
      </c>
      <c r="N36" s="548">
        <f t="shared" ref="N36" si="145">IFERROR(N35/J35-1,"")</f>
        <v>-2.9980039168560513E-2</v>
      </c>
      <c r="O36" s="548">
        <f t="shared" ref="O36" si="146">IFERROR(O35/K35-1,"")</f>
        <v>-0.11834279703916339</v>
      </c>
      <c r="P36" s="548">
        <f t="shared" ref="P36" si="147">IFERROR(P35/L35-1,"")</f>
        <v>-0.18111788332706025</v>
      </c>
      <c r="Q36" s="548">
        <f t="shared" ref="Q36" si="148">IFERROR(Q35/M35-1,"")</f>
        <v>-0.22311645465974139</v>
      </c>
      <c r="R36" s="548">
        <f t="shared" ref="R36" si="149">IFERROR(R35/N35-1,"")</f>
        <v>-0.17581758780110057</v>
      </c>
      <c r="S36" s="548">
        <f t="shared" ref="S36" si="150">IFERROR(S35/O35-1,"")</f>
        <v>-0.10785276227574625</v>
      </c>
      <c r="T36" s="548">
        <f t="shared" ref="T36:X36" si="151">IFERROR(T35/P35-1,"")</f>
        <v>-3.2033216479304572E-2</v>
      </c>
      <c r="U36" s="548">
        <f t="shared" si="151"/>
        <v>3.7005527073481925E-2</v>
      </c>
      <c r="V36" s="548">
        <f t="shared" si="151"/>
        <v>7.5900251382233552E-2</v>
      </c>
      <c r="W36" s="548">
        <f t="shared" si="151"/>
        <v>3.2411015139008681E-2</v>
      </c>
      <c r="X36" s="548">
        <f t="shared" si="151"/>
        <v>7.3250648874332303E-3</v>
      </c>
      <c r="Y36" s="548"/>
      <c r="Z36" s="548"/>
      <c r="AF36" s="581">
        <f>AF35/AA35-1</f>
        <v>4.8910600186103048E-2</v>
      </c>
      <c r="AG36" s="549"/>
      <c r="AM36" s="548">
        <f>AM35/AL35-1</f>
        <v>1.994448803291049E-2</v>
      </c>
    </row>
    <row r="37" spans="2:39">
      <c r="B37" s="536" t="s">
        <v>744</v>
      </c>
      <c r="C37" s="540">
        <f>'Revenue, EBITDA, capex breakout'!AH19</f>
        <v>7655.1305078320092</v>
      </c>
      <c r="D37" s="540">
        <f>'Revenue, EBITDA, capex breakout'!AI19</f>
        <v>9366</v>
      </c>
      <c r="E37" s="540">
        <f>'Revenue, EBITDA, capex breakout'!AJ19</f>
        <v>12125.214719066998</v>
      </c>
      <c r="F37" s="540">
        <f>'Revenue, EBITDA, capex breakout'!AK19</f>
        <v>13466.498654933986</v>
      </c>
      <c r="G37" s="540">
        <f>'Revenue, EBITDA, capex breakout'!AL19</f>
        <v>12710.870055566998</v>
      </c>
      <c r="H37" s="540">
        <f>'Revenue, EBITDA, capex breakout'!AM19</f>
        <v>13377.363453294993</v>
      </c>
      <c r="I37" s="540">
        <f>'Revenue, EBITDA, capex breakout'!AN19</f>
        <v>14017.881118295978</v>
      </c>
      <c r="J37" s="540">
        <f>'Revenue, EBITDA, capex breakout'!AO19</f>
        <v>14867.042365331066</v>
      </c>
      <c r="K37" s="540">
        <f>'Revenue, EBITDA, capex breakout'!AP19</f>
        <v>14684.871011025001</v>
      </c>
      <c r="L37" s="540">
        <f>'Revenue, EBITDA, capex breakout'!AQ19</f>
        <v>15922</v>
      </c>
      <c r="M37" s="540">
        <f>'Revenue, EBITDA, capex breakout'!AR19</f>
        <v>15823.695888786993</v>
      </c>
      <c r="N37" s="540">
        <f>'Revenue, EBITDA, capex breakout'!AS19</f>
        <v>16450.991253124972</v>
      </c>
      <c r="O37" s="540">
        <f>'Revenue, EBITDA, capex breakout'!AT19</f>
        <v>17011.212316893005</v>
      </c>
      <c r="P37" s="540">
        <f>'Revenue, EBITDA, capex breakout'!AU19</f>
        <v>18293.413502946998</v>
      </c>
      <c r="Q37" s="540">
        <f>'Revenue, EBITDA, capex breakout'!AV19</f>
        <v>19049.598001704137</v>
      </c>
      <c r="R37" s="540">
        <f>'Revenue, EBITDA, capex breakout'!AW19</f>
        <v>19680.07435161803</v>
      </c>
      <c r="S37" s="540">
        <f>'Revenue, EBITDA, capex breakout'!AX19</f>
        <v>19979.335158333994</v>
      </c>
      <c r="T37" s="540">
        <f>'Revenue, EBITDA, capex breakout'!AY19</f>
        <v>20577.683013659003</v>
      </c>
      <c r="U37" s="540">
        <f>'Revenue, EBITDA, capex breakout'!AZ19</f>
        <v>20625.113802918018</v>
      </c>
      <c r="V37" s="540">
        <f>'Revenue, EBITDA, capex breakout'!BA19</f>
        <v>20830.155666282943</v>
      </c>
      <c r="W37" s="540">
        <f>'Revenue, EBITDA, capex breakout'!BB19</f>
        <v>19855</v>
      </c>
      <c r="X37" s="540">
        <f>'Revenue, EBITDA, capex breakout'!BC19</f>
        <v>20208</v>
      </c>
      <c r="Y37" s="540"/>
      <c r="Z37" s="540"/>
      <c r="AA37" s="540">
        <f>SUMIFS($C37:Y37,$C$3:Y$3,AA$3)</f>
        <v>20577.683013659003</v>
      </c>
      <c r="AB37" s="540">
        <f>SUMIFS($C37:Y37,$C$3:Y$3,AB$3)</f>
        <v>19855</v>
      </c>
      <c r="AC37" s="540">
        <f>SUMIFS($C37:Y37,$C$3:Y$3,AC$3)</f>
        <v>20208</v>
      </c>
      <c r="AD37" s="543">
        <f>IFERROR(AC37/AA37-1,"")</f>
        <v>-1.7965239984191417E-2</v>
      </c>
      <c r="AE37" s="543">
        <f>IFERROR(AC37/AB37-1,"")</f>
        <v>1.777889700327373E-2</v>
      </c>
      <c r="AF37" s="539" cm="1">
        <f t="array" ref="AF37">_xll.VAData("BHARTI_IN", AF$4, "EBITDA - Airtel Business", "Consensus", "CD", "IMPL","","")</f>
        <v>21457.628868469208</v>
      </c>
      <c r="AG37" s="549">
        <f>AC37/AF37-1</f>
        <v>-5.8237043623467044E-2</v>
      </c>
      <c r="AH37" s="538">
        <f>AC37-AA37</f>
        <v>-369.68301365900334</v>
      </c>
      <c r="AL37" s="540">
        <f>IF(MONTH(AL$3)=3,SUMIFS($C37:Y37,$C$3:Y$3,"&lt;="&amp;AL$3,$C$3:Y$3,"&gt;"&amp;DATE(YEAR(AL$3)-1,3,31)),SUMIFS($C37:Y37,$C$3:Y$3,"&lt;="&amp;AL$3,$C$3:Y$3,"&gt;"&amp;EOMONTH(AL$3,-MONTH(AL$3)+3)))</f>
        <v>40557.018171992997</v>
      </c>
      <c r="AM37" s="540">
        <f>IF(MONTH(AM$3)=3,SUMIFS($C37:Y37,$C$3:Y$3,"&lt;="&amp;AM$3,$C$3:Y$3,"&gt;"&amp;DATE(YEAR(AM$3)-1,3,31)),SUMIFS($C37:Y37,$C$3:Y$3,"&lt;="&amp;AM$3,$C$3:Y$3,"&gt;"&amp;EOMONTH(AM$3,-MONTH(AM$3)+3)))</f>
        <v>40063</v>
      </c>
    </row>
    <row r="38" spans="2:39">
      <c r="B38" s="561" t="s">
        <v>849</v>
      </c>
      <c r="C38" s="538"/>
      <c r="D38" s="538"/>
      <c r="E38" s="538"/>
      <c r="F38" s="538"/>
      <c r="G38" s="548">
        <f>IFERROR(G37/C37-1,"")</f>
        <v>0.66043806079627676</v>
      </c>
      <c r="H38" s="548">
        <f t="shared" ref="H38" si="152">IFERROR(H37/D37-1,"")</f>
        <v>0.42828992668107979</v>
      </c>
      <c r="I38" s="548">
        <f t="shared" ref="I38" si="153">IFERROR(I37/E37-1,"")</f>
        <v>0.15609343364886952</v>
      </c>
      <c r="J38" s="548">
        <f t="shared" ref="J38" si="154">IFERROR(J37/F37-1,"")</f>
        <v>0.10400206811619395</v>
      </c>
      <c r="K38" s="548">
        <f t="shared" ref="K38" si="155">IFERROR(K37/G37-1,"")</f>
        <v>0.15530022310262281</v>
      </c>
      <c r="L38" s="548">
        <f t="shared" ref="L38" si="156">IFERROR(L37/H37-1,"")</f>
        <v>0.1902195866613936</v>
      </c>
      <c r="M38" s="548">
        <f t="shared" ref="M38" si="157">IFERROR(M37/I37-1,"")</f>
        <v>0.12882223463388387</v>
      </c>
      <c r="N38" s="548">
        <f t="shared" ref="N38" si="158">IFERROR(N37/J37-1,"")</f>
        <v>0.10654095474211922</v>
      </c>
      <c r="O38" s="548">
        <f t="shared" ref="O38" si="159">IFERROR(O37/K37-1,"")</f>
        <v>0.15841755124178136</v>
      </c>
      <c r="P38" s="548">
        <f t="shared" ref="P38" si="160">IFERROR(P37/L37-1,"")</f>
        <v>0.14893942362435619</v>
      </c>
      <c r="Q38" s="548">
        <f t="shared" ref="Q38" si="161">IFERROR(Q37/M37-1,"")</f>
        <v>0.20386527493890272</v>
      </c>
      <c r="R38" s="548">
        <f t="shared" ref="R38" si="162">IFERROR(R37/N37-1,"")</f>
        <v>0.19628501704295021</v>
      </c>
      <c r="S38" s="548">
        <f t="shared" ref="S38" si="163">IFERROR(S37/O37-1,"")</f>
        <v>0.17448038306437996</v>
      </c>
      <c r="T38" s="548">
        <f t="shared" ref="T38:X38" si="164">IFERROR(T37/P37-1,"")</f>
        <v>0.12486841290413175</v>
      </c>
      <c r="U38" s="548">
        <f t="shared" si="164"/>
        <v>8.2705986817828814E-2</v>
      </c>
      <c r="V38" s="548">
        <f t="shared" si="164"/>
        <v>5.8438870408553889E-2</v>
      </c>
      <c r="W38" s="548">
        <f t="shared" si="164"/>
        <v>-6.2231879764091946E-3</v>
      </c>
      <c r="X38" s="548">
        <f t="shared" si="164"/>
        <v>-1.7965239984191417E-2</v>
      </c>
      <c r="Y38" s="548"/>
      <c r="Z38" s="548"/>
      <c r="AF38" s="581">
        <f>AF37/AA37-1</f>
        <v>4.2762144514818079E-2</v>
      </c>
      <c r="AG38" s="549"/>
      <c r="AM38" s="548">
        <f>AM37/AL37-1</f>
        <v>-1.2180830698597656E-2</v>
      </c>
    </row>
    <row r="39" spans="2:39">
      <c r="B39" s="536" t="s">
        <v>745</v>
      </c>
      <c r="C39" s="540">
        <f>'Revenue, EBITDA, capex breakout'!AH20</f>
        <v>10055.068471999999</v>
      </c>
      <c r="D39" s="540">
        <f>'Revenue, EBITDA, capex breakout'!AI20</f>
        <v>9268</v>
      </c>
      <c r="E39" s="540">
        <f>'Revenue, EBITDA, capex breakout'!AJ20</f>
        <v>8782.1744990000043</v>
      </c>
      <c r="F39" s="540">
        <f>'Revenue, EBITDA, capex breakout'!AK20</f>
        <v>9031.6390199999987</v>
      </c>
      <c r="G39" s="540">
        <f>'Revenue, EBITDA, capex breakout'!AL20</f>
        <v>8742.0220379999992</v>
      </c>
      <c r="H39" s="540">
        <f>'Revenue, EBITDA, capex breakout'!AM20</f>
        <v>9293.0936160000001</v>
      </c>
      <c r="I39" s="540">
        <f>'Revenue, EBITDA, capex breakout'!AN20</f>
        <v>0</v>
      </c>
      <c r="J39" s="540">
        <f>'Revenue, EBITDA, capex breakout'!AO20</f>
        <v>0</v>
      </c>
      <c r="K39" s="540">
        <f>'Revenue, EBITDA, capex breakout'!AP20</f>
        <v>0</v>
      </c>
      <c r="L39" s="540">
        <f>'Revenue, EBITDA, capex breakout'!AQ20</f>
        <v>0</v>
      </c>
      <c r="M39" s="540">
        <f>'Revenue, EBITDA, capex breakout'!AR20</f>
        <v>0</v>
      </c>
      <c r="N39" s="540">
        <f>'Revenue, EBITDA, capex breakout'!AS20</f>
        <v>0</v>
      </c>
      <c r="O39" s="540">
        <f>'Revenue, EBITDA, capex breakout'!AT20</f>
        <v>0</v>
      </c>
      <c r="P39" s="540">
        <f>'Revenue, EBITDA, capex breakout'!AU20</f>
        <v>0</v>
      </c>
      <c r="Q39" s="540">
        <f>'Revenue, EBITDA, capex breakout'!AV20</f>
        <v>0</v>
      </c>
      <c r="R39" s="540">
        <f>'Revenue, EBITDA, capex breakout'!AW20</f>
        <v>0</v>
      </c>
      <c r="S39" s="540">
        <f>'Revenue, EBITDA, capex breakout'!AX20</f>
        <v>0</v>
      </c>
      <c r="T39" s="540">
        <f>'Revenue, EBITDA, capex breakout'!AY20</f>
        <v>0</v>
      </c>
      <c r="U39" s="540">
        <f>'Revenue, EBITDA, capex breakout'!AZ20</f>
        <v>0</v>
      </c>
      <c r="V39" s="540">
        <f>'Revenue, EBITDA, capex breakout'!BA20</f>
        <v>0</v>
      </c>
      <c r="W39" s="540">
        <f>'Revenue, EBITDA, capex breakout'!BB20</f>
        <v>0</v>
      </c>
      <c r="X39" s="540">
        <f>'Revenue, EBITDA, capex breakout'!BC20</f>
        <v>0</v>
      </c>
      <c r="Y39" s="540"/>
      <c r="Z39" s="540"/>
      <c r="AA39" s="540">
        <f>SUMIFS($C39:Y39,$C$3:Y$3,AA$3)</f>
        <v>0</v>
      </c>
      <c r="AB39" s="540">
        <f>SUMIFS($C39:Y39,$C$3:Y$3,AB$3)</f>
        <v>0</v>
      </c>
      <c r="AC39" s="540">
        <f>SUMIFS($C39:Y39,$C$3:Y$3,AC$3)</f>
        <v>0</v>
      </c>
      <c r="AD39" s="543" t="str">
        <f>IFERROR(AC39/AA39-1,"")</f>
        <v/>
      </c>
      <c r="AE39" s="543" t="str">
        <f>IFERROR(AC39/AB39-1,"")</f>
        <v/>
      </c>
      <c r="AF39" s="539"/>
      <c r="AG39" s="549"/>
      <c r="AH39" s="538"/>
    </row>
    <row r="40" spans="2:39">
      <c r="B40" s="536" t="s">
        <v>746</v>
      </c>
      <c r="C40" s="540">
        <f>'Revenue, EBITDA, capex breakout'!AH21</f>
        <v>92</v>
      </c>
      <c r="D40" s="540">
        <f>'Revenue, EBITDA, capex breakout'!AI21</f>
        <v>84</v>
      </c>
      <c r="E40" s="540">
        <f>'Revenue, EBITDA, capex breakout'!AJ21</f>
        <v>106.05340315399951</v>
      </c>
      <c r="F40" s="540">
        <f>'Revenue, EBITDA, capex breakout'!AK21</f>
        <v>146.96209258700219</v>
      </c>
      <c r="G40" s="540">
        <f>'Revenue, EBITDA, capex breakout'!AL21</f>
        <v>98.239024370000038</v>
      </c>
      <c r="H40" s="540">
        <f>'Revenue, EBITDA, capex breakout'!AM21</f>
        <v>116.03673861700031</v>
      </c>
      <c r="I40" s="540">
        <f>'Revenue, EBITDA, capex breakout'!AN21</f>
        <v>38.822074347999546</v>
      </c>
      <c r="J40" s="540">
        <f>'Revenue, EBITDA, capex breakout'!AO21</f>
        <v>-121.6531217290003</v>
      </c>
      <c r="K40" s="540">
        <f>'Revenue, EBITDA, capex breakout'!AP21</f>
        <v>-110.69604768600004</v>
      </c>
      <c r="L40" s="540">
        <f>'Revenue, EBITDA, capex breakout'!AQ21</f>
        <v>-141.33020668699976</v>
      </c>
      <c r="M40" s="540">
        <f>'Revenue, EBITDA, capex breakout'!AR21</f>
        <v>-208.7894512840013</v>
      </c>
      <c r="N40" s="540">
        <f>'Revenue, EBITDA, capex breakout'!AS21</f>
        <v>-160</v>
      </c>
      <c r="O40" s="540">
        <f>'Revenue, EBITDA, capex breakout'!AT21</f>
        <v>-108.08195985200007</v>
      </c>
      <c r="P40" s="540">
        <f>'Revenue, EBITDA, capex breakout'!AU21</f>
        <v>-140.71367471700103</v>
      </c>
      <c r="Q40" s="540">
        <f>'Revenue, EBITDA, capex breakout'!AV21</f>
        <v>-131.09308721799846</v>
      </c>
      <c r="R40" s="540">
        <f>'Revenue, EBITDA, capex breakout'!AW21</f>
        <v>-138.39178903500101</v>
      </c>
      <c r="S40" s="540">
        <f>'Revenue, EBITDA, capex breakout'!AX21</f>
        <v>-112.41179045599984</v>
      </c>
      <c r="T40" s="540">
        <f>'Revenue, EBITDA, capex breakout'!AY21</f>
        <v>-119.8444728290001</v>
      </c>
      <c r="U40" s="540">
        <f>'Revenue, EBITDA, capex breakout'!AZ21</f>
        <v>-151.0451155640003</v>
      </c>
      <c r="V40" s="540">
        <f>'Revenue, EBITDA, capex breakout'!BA21</f>
        <v>-265.49376133099986</v>
      </c>
      <c r="W40" s="540">
        <f>'Revenue, EBITDA, capex breakout'!BB21</f>
        <v>-166.15</v>
      </c>
      <c r="X40" s="540">
        <f>'Revenue, EBITDA, capex breakout'!BC21</f>
        <v>0</v>
      </c>
      <c r="Y40" s="540"/>
      <c r="Z40" s="540"/>
      <c r="AA40" s="540">
        <f>SUMIFS($C40:Y40,$C$3:Y$3,AA$3)</f>
        <v>-119.8444728290001</v>
      </c>
      <c r="AB40" s="540">
        <f>SUMIFS($C40:Y40,$C$3:Y$3,AB$3)</f>
        <v>-166.15</v>
      </c>
      <c r="AC40" s="540">
        <f>SUMIFS($C40:Y40,$C$3:Y$3,AC$3)</f>
        <v>0</v>
      </c>
      <c r="AD40" s="543">
        <f>IFERROR(AC40/AA40-1,"")</f>
        <v>-1</v>
      </c>
      <c r="AE40" s="543">
        <f>IFERROR(AC40/AB40-1,"")</f>
        <v>-1</v>
      </c>
      <c r="AF40" s="539" cm="1">
        <f t="array" ref="AF40">_xll.VAData("BHARTI_IN", AF$4, "EBITDA - Mobile services - South Asia", "Consensus", "CD", "IMPL","","")</f>
        <v>-115.92706506699361</v>
      </c>
      <c r="AG40" s="549">
        <f>AC40/AF40-1</f>
        <v>-1</v>
      </c>
      <c r="AH40" s="538">
        <f>AC40-AA40</f>
        <v>119.8444728290001</v>
      </c>
      <c r="AL40" s="540">
        <f>IF(MONTH(AL$3)=3,SUMIFS($C40:Y40,$C$3:Y$3,"&lt;="&amp;AL$3,$C$3:Y$3,"&gt;"&amp;DATE(YEAR(AL$3)-1,3,31)),SUMIFS($C40:Y40,$C$3:Y$3,"&lt;="&amp;AL$3,$C$3:Y$3,"&gt;"&amp;EOMONTH(AL$3,-MONTH(AL$3)+3)))</f>
        <v>-232.25626328499993</v>
      </c>
      <c r="AM40" s="540">
        <f>IF(MONTH(AM$3)=3,SUMIFS($C40:Y40,$C$3:Y$3,"&lt;="&amp;AM$3,$C$3:Y$3,"&gt;"&amp;DATE(YEAR(AM$3)-1,3,31)),SUMIFS($C40:Y40,$C$3:Y$3,"&lt;="&amp;AM$3,$C$3:Y$3,"&gt;"&amp;EOMONTH(AM$3,-MONTH(AM$3)+3)))</f>
        <v>-166.15</v>
      </c>
    </row>
    <row r="41" spans="2:39">
      <c r="B41" s="561" t="s">
        <v>849</v>
      </c>
      <c r="C41" s="538"/>
      <c r="D41" s="538"/>
      <c r="E41" s="538"/>
      <c r="F41" s="538"/>
      <c r="G41" s="548">
        <f>IFERROR(G40/C40-1,"")</f>
        <v>6.7815482282609141E-2</v>
      </c>
      <c r="H41" s="548">
        <f t="shared" ref="H41" si="165">IFERROR(H40/D40-1,"")</f>
        <v>0.38138974544047999</v>
      </c>
      <c r="I41" s="548">
        <f t="shared" ref="I41" si="166">IFERROR(I40/E40-1,"")</f>
        <v>-0.63393843862203791</v>
      </c>
      <c r="J41" s="548">
        <f t="shared" ref="J41" si="167">IFERROR(J40/F40-1,"")</f>
        <v>-1.827785720708768</v>
      </c>
      <c r="K41" s="548">
        <f t="shared" ref="K41" si="168">IFERROR(K40/G40-1,"")</f>
        <v>-2.1268032067285483</v>
      </c>
      <c r="L41" s="548">
        <f t="shared" ref="L41" si="169">IFERROR(L40/H40-1,"")</f>
        <v>-2.2179781022067933</v>
      </c>
      <c r="M41" s="548">
        <f t="shared" ref="M41" si="170">IFERROR(M40/I40-1,"")</f>
        <v>-6.3781116746215281</v>
      </c>
      <c r="N41" s="548">
        <f t="shared" ref="N41" si="171">IFERROR(N40/J40-1,"")</f>
        <v>0.31521491373170707</v>
      </c>
      <c r="O41" s="548">
        <f t="shared" ref="O41" si="172">IFERROR(O40/K40-1,"")</f>
        <v>-2.3615006033594677E-2</v>
      </c>
      <c r="P41" s="548">
        <f t="shared" ref="P41" si="173">IFERROR(P40/L40-1,"")</f>
        <v>-4.3623510108079522E-3</v>
      </c>
      <c r="Q41" s="548">
        <f t="shared" ref="Q41" si="174">IFERROR(Q40/M40-1,"")</f>
        <v>-0.37212782345176076</v>
      </c>
      <c r="R41" s="548">
        <f t="shared" ref="R41" si="175">IFERROR(R40/N40-1,"")</f>
        <v>-0.13505131853124364</v>
      </c>
      <c r="S41" s="548">
        <f t="shared" ref="S41" si="176">IFERROR(S40/O40-1,"")</f>
        <v>4.006062260463028E-2</v>
      </c>
      <c r="T41" s="548">
        <f t="shared" ref="T41:X41" si="177">IFERROR(T40/P40-1,"")</f>
        <v>-0.14830969292765905</v>
      </c>
      <c r="U41" s="548">
        <f t="shared" si="177"/>
        <v>0.1521974100192105</v>
      </c>
      <c r="V41" s="548">
        <f t="shared" si="177"/>
        <v>0.91842133975053364</v>
      </c>
      <c r="W41" s="548">
        <f t="shared" si="177"/>
        <v>0.47804780375804401</v>
      </c>
      <c r="X41" s="548">
        <f t="shared" si="177"/>
        <v>-1</v>
      </c>
      <c r="Y41" s="548"/>
      <c r="Z41" s="548"/>
      <c r="AF41" s="581">
        <f>AF40/AA40-1</f>
        <v>-3.2687429545424584E-2</v>
      </c>
      <c r="AG41" s="549"/>
      <c r="AM41" s="548">
        <f>AM40/AL40-1</f>
        <v>-0.28462639650704025</v>
      </c>
    </row>
    <row r="42" spans="2:39">
      <c r="B42" s="536" t="s">
        <v>747</v>
      </c>
      <c r="C42" s="540">
        <f>'Revenue, EBITDA, capex breakout'!AH22</f>
        <v>24205.991842561514</v>
      </c>
      <c r="D42" s="540">
        <f>'Revenue, EBITDA, capex breakout'!AI22</f>
        <v>26082</v>
      </c>
      <c r="E42" s="540">
        <f>'Revenue, EBITDA, capex breakout'!AJ22</f>
        <v>28330.852402844761</v>
      </c>
      <c r="F42" s="540">
        <f>'Revenue, EBITDA, capex breakout'!AK22</f>
        <v>28640.351451533032</v>
      </c>
      <c r="G42" s="540">
        <f>'Revenue, EBITDA, capex breakout'!AL22</f>
        <v>28425.237581814989</v>
      </c>
      <c r="H42" s="540">
        <f>'Revenue, EBITDA, capex breakout'!AM22</f>
        <v>32452.604396361967</v>
      </c>
      <c r="I42" s="540">
        <f>'Revenue, EBITDA, capex breakout'!AN22</f>
        <v>35852.111383891999</v>
      </c>
      <c r="J42" s="540">
        <f>'Revenue, EBITDA, capex breakout'!AO22</f>
        <v>36250.037016255985</v>
      </c>
      <c r="K42" s="540">
        <f>'Revenue, EBITDA, capex breakout'!AP22</f>
        <v>39272.835667117004</v>
      </c>
      <c r="L42" s="540">
        <f>'Revenue, EBITDA, capex breakout'!AQ22</f>
        <v>41743.257718275971</v>
      </c>
      <c r="M42" s="540">
        <f>'Revenue, EBITDA, capex breakout'!AR22</f>
        <v>45189.595548540012</v>
      </c>
      <c r="N42" s="540">
        <f>'Revenue, EBITDA, capex breakout'!AS22</f>
        <v>45865.058372405023</v>
      </c>
      <c r="O42" s="540">
        <f>'Revenue, EBITDA, capex breakout'!AT22</f>
        <v>47381.327488894975</v>
      </c>
      <c r="P42" s="540">
        <f>'Revenue, EBITDA, capex breakout'!AU22</f>
        <v>51251.757737889995</v>
      </c>
      <c r="Q42" s="540">
        <f>'Revenue, EBITDA, capex breakout'!AV22</f>
        <v>54467.657951169866</v>
      </c>
      <c r="R42" s="540">
        <f>'Revenue, EBITDA, capex breakout'!AW22</f>
        <v>54180.045980566138</v>
      </c>
      <c r="S42" s="540">
        <f>'Revenue, EBITDA, capex breakout'!AX22</f>
        <v>56030.824992768969</v>
      </c>
      <c r="T42" s="540">
        <f>'Revenue, EBITDA, capex breakout'!AY22</f>
        <v>51157.696750332107</v>
      </c>
      <c r="U42" s="540">
        <f>'Revenue, EBITDA, capex breakout'!AZ22</f>
        <v>50590.337462133022</v>
      </c>
      <c r="V42" s="540">
        <f>'Revenue, EBITDA, capex breakout'!BA22</f>
        <v>43236.906250850938</v>
      </c>
      <c r="W42" s="540">
        <f>'Revenue, EBITDA, capex breakout'!BB22</f>
        <v>43616.529097564257</v>
      </c>
      <c r="X42" s="540">
        <f>'Revenue, EBITDA, capex breakout'!BC22</f>
        <v>47258.500766475518</v>
      </c>
      <c r="Y42" s="540"/>
      <c r="Z42" s="540"/>
      <c r="AA42" s="540">
        <f>SUMIFS($C42:Y42,$C$3:Y$3,AA$3)</f>
        <v>51157.696750332107</v>
      </c>
      <c r="AB42" s="540">
        <f>SUMIFS($C42:Y42,$C$3:Y$3,AB$3)</f>
        <v>43616.529097564257</v>
      </c>
      <c r="AC42" s="540">
        <f>SUMIFS($C42:Y42,$C$3:Y$3,AC$3)</f>
        <v>47258.500766475518</v>
      </c>
      <c r="AD42" s="543">
        <f>IFERROR(AC42/AA42-1,"")</f>
        <v>-7.6219146512519154E-2</v>
      </c>
      <c r="AE42" s="543">
        <f>IFERROR(AC42/AB42-1,"")</f>
        <v>8.3499804873621741E-2</v>
      </c>
      <c r="AF42" s="539" cm="1">
        <f t="array" ref="AF42">_xll.VAData("BHARTI_IN", AF$4, "EBITDA - Mobile services - Africa", "Consensus", "CD", "IMPL","","")</f>
        <v>46019.130672886276</v>
      </c>
      <c r="AG42" s="549">
        <f>AC42/AF42-1</f>
        <v>2.6931627683255188E-2</v>
      </c>
      <c r="AH42" s="538">
        <f>AC42-AA42</f>
        <v>-3899.195983856589</v>
      </c>
      <c r="AL42" s="540">
        <f>IF(MONTH(AL$3)=3,SUMIFS($C42:Y42,$C$3:Y$3,"&lt;="&amp;AL$3,$C$3:Y$3,"&gt;"&amp;DATE(YEAR(AL$3)-1,3,31)),SUMIFS($C42:Y42,$C$3:Y$3,"&lt;="&amp;AL$3,$C$3:Y$3,"&gt;"&amp;EOMONTH(AL$3,-MONTH(AL$3)+3)))</f>
        <v>107188.52174310107</v>
      </c>
      <c r="AM42" s="540">
        <f>IF(MONTH(AM$3)=3,SUMIFS($C42:Y42,$C$3:Y$3,"&lt;="&amp;AM$3,$C$3:Y$3,"&gt;"&amp;DATE(YEAR(AM$3)-1,3,31)),SUMIFS($C42:Y42,$C$3:Y$3,"&lt;="&amp;AM$3,$C$3:Y$3,"&gt;"&amp;EOMONTH(AM$3,-MONTH(AM$3)+3)))</f>
        <v>90875.029864039767</v>
      </c>
    </row>
    <row r="43" spans="2:39">
      <c r="B43" s="561" t="s">
        <v>849</v>
      </c>
      <c r="C43" s="538"/>
      <c r="D43" s="538"/>
      <c r="E43" s="538"/>
      <c r="F43" s="538"/>
      <c r="G43" s="548">
        <f>IFERROR(G42/C42-1,"")</f>
        <v>0.17430583992161619</v>
      </c>
      <c r="H43" s="548">
        <f t="shared" ref="H43" si="178">IFERROR(H42/D42-1,"")</f>
        <v>0.24425290991342563</v>
      </c>
      <c r="I43" s="548">
        <f t="shared" ref="I43" si="179">IFERROR(I42/E42-1,"")</f>
        <v>0.26547944530931278</v>
      </c>
      <c r="J43" s="548">
        <f t="shared" ref="J43" si="180">IFERROR(J42/F42-1,"")</f>
        <v>0.26569805114300116</v>
      </c>
      <c r="K43" s="548">
        <f t="shared" ref="K43" si="181">IFERROR(K42/G42-1,"")</f>
        <v>0.38161855478181672</v>
      </c>
      <c r="L43" s="548">
        <f t="shared" ref="L43" si="182">IFERROR(L42/H42-1,"")</f>
        <v>0.28628375117269522</v>
      </c>
      <c r="M43" s="548">
        <f t="shared" ref="M43" si="183">IFERROR(M42/I42-1,"")</f>
        <v>0.26044447047108221</v>
      </c>
      <c r="N43" s="548">
        <f t="shared" ref="N43" si="184">IFERROR(N42/J42-1,"")</f>
        <v>0.2652416975970886</v>
      </c>
      <c r="O43" s="548">
        <f t="shared" ref="O43" si="185">IFERROR(O42/K42-1,"")</f>
        <v>0.20646565708946696</v>
      </c>
      <c r="P43" s="548">
        <f t="shared" ref="P43" si="186">IFERROR(P42/L42-1,"")</f>
        <v>0.22778528891507732</v>
      </c>
      <c r="Q43" s="548">
        <f t="shared" ref="Q43" si="187">IFERROR(Q42/M42-1,"")</f>
        <v>0.20531412795372117</v>
      </c>
      <c r="R43" s="548">
        <f t="shared" ref="R43" si="188">IFERROR(R42/N42-1,"")</f>
        <v>0.18129242397659029</v>
      </c>
      <c r="S43" s="548">
        <f t="shared" ref="S43" si="189">IFERROR(S42/O42-1,"")</f>
        <v>0.18255076339727339</v>
      </c>
      <c r="T43" s="548">
        <f t="shared" ref="T43:X43" si="190">IFERROR(T42/P42-1,"")</f>
        <v>-1.8352733976253477E-3</v>
      </c>
      <c r="U43" s="548">
        <f t="shared" si="190"/>
        <v>-7.1185739113527768E-2</v>
      </c>
      <c r="V43" s="548">
        <f t="shared" si="190"/>
        <v>-0.20197730606652486</v>
      </c>
      <c r="W43" s="548">
        <f t="shared" si="190"/>
        <v>-0.22156189734502096</v>
      </c>
      <c r="X43" s="548">
        <f t="shared" si="190"/>
        <v>-7.6219146512519154E-2</v>
      </c>
      <c r="Y43" s="548"/>
      <c r="Z43" s="548"/>
      <c r="AF43" s="581">
        <f>AF42/AA42-1</f>
        <v>-0.10044561041369537</v>
      </c>
      <c r="AG43" s="549"/>
      <c r="AM43" s="548">
        <f>AM42/AL42-1</f>
        <v>-0.15219439184131933</v>
      </c>
    </row>
    <row r="44" spans="2:39" s="536" customFormat="1">
      <c r="B44" s="562" t="s">
        <v>37</v>
      </c>
      <c r="C44" s="563">
        <f>'Revenue, EBITDA, capex breakout'!AH25</f>
        <v>84926</v>
      </c>
      <c r="D44" s="563">
        <f>'Revenue, EBITDA, capex breakout'!AI25</f>
        <v>89363</v>
      </c>
      <c r="E44" s="563">
        <f>'Revenue, EBITDA, capex breakout'!AJ25</f>
        <v>93500.971654773908</v>
      </c>
      <c r="F44" s="563">
        <f>'Revenue, EBITDA, capex breakout'!AK25</f>
        <v>97612</v>
      </c>
      <c r="G44" s="563">
        <f>'Revenue, EBITDA, capex breakout'!AL25</f>
        <v>101185.56047363298</v>
      </c>
      <c r="H44" s="563">
        <f>'Revenue, EBITDA, capex breakout'!AM25</f>
        <v>112593.25666681012</v>
      </c>
      <c r="I44" s="563">
        <f>'Revenue, EBITDA, capex breakout'!AN25</f>
        <v>121777.18285955691</v>
      </c>
      <c r="J44" s="563">
        <f>'Revenue, EBITDA, capex breakout'!AO25</f>
        <v>125831</v>
      </c>
      <c r="K44" s="563">
        <f>'Revenue, EBITDA, capex breakout'!AP25</f>
        <v>131894</v>
      </c>
      <c r="L44" s="563">
        <f>'Revenue, EBITDA, capex breakout'!AQ25</f>
        <v>140177</v>
      </c>
      <c r="M44" s="563">
        <f>'Revenue, EBITDA, capex breakout'!AR25</f>
        <v>149047</v>
      </c>
      <c r="N44" s="563">
        <f>'Revenue, EBITDA, capex breakout'!AS25</f>
        <v>159984</v>
      </c>
      <c r="O44" s="563">
        <f>'Revenue, EBITDA, capex breakout'!AT25</f>
        <v>166044.05917511089</v>
      </c>
      <c r="P44" s="563">
        <f>'Revenue, EBITDA, capex breakout'!AU25</f>
        <v>177212</v>
      </c>
      <c r="Q44" s="563">
        <f>'Revenue, EBITDA, capex breakout'!AV25</f>
        <v>186007.48791346012</v>
      </c>
      <c r="R44" s="563">
        <f>'Revenue, EBITDA, capex breakout'!AW25</f>
        <v>188067</v>
      </c>
      <c r="S44" s="563">
        <f>'Revenue, EBITDA, capex breakout'!AX25</f>
        <v>197461</v>
      </c>
      <c r="T44" s="563">
        <f>'Revenue, EBITDA, capex breakout'!AY25</f>
        <v>196649.56576009793</v>
      </c>
      <c r="U44" s="563">
        <f>'Revenue, EBITDA, capex breakout'!AZ25</f>
        <v>200442.63899788403</v>
      </c>
      <c r="V44" s="563">
        <f>'Revenue, EBITDA, capex breakout'!BA25</f>
        <v>195904.96373130448</v>
      </c>
      <c r="W44" s="563">
        <f>'Revenue, EBITDA, capex breakout'!BB25</f>
        <v>199442</v>
      </c>
      <c r="X44" s="563">
        <f>'Revenue, EBITDA, capex breakout'!BC25</f>
        <v>220209</v>
      </c>
      <c r="Y44" s="540"/>
      <c r="Z44" s="540"/>
      <c r="AA44" s="563">
        <f>SUMIFS($C44:Y44,$C$3:Y$3,AA$3)</f>
        <v>196649.56576009793</v>
      </c>
      <c r="AB44" s="563">
        <f>SUMIFS($C44:Y44,$C$3:Y$3,AB$3)</f>
        <v>199442</v>
      </c>
      <c r="AC44" s="563">
        <f>SUMIFS($C44:Y44,$C$3:Y$3,AC$3)</f>
        <v>220209</v>
      </c>
      <c r="AD44" s="578">
        <f>IFERROR(AC44/AA44-1,"")</f>
        <v>0.11980415084487572</v>
      </c>
      <c r="AE44" s="578">
        <f>IFERROR(AC44/AB44-1,"")</f>
        <v>0.10412551017338378</v>
      </c>
      <c r="AF44" s="579" cm="1">
        <f t="array" ref="AF44">_xll.VAData("BHARTI_IN", AF$4, "EBITDA", "Consensus", "CD", "IMPL","","")</f>
        <v>218253.42762384974</v>
      </c>
      <c r="AG44" s="580">
        <f>AC44/AF44-1</f>
        <v>8.9600992636900134E-3</v>
      </c>
      <c r="AH44" s="538">
        <f>AC44-AA44</f>
        <v>23559.434239902068</v>
      </c>
      <c r="AL44" s="540">
        <f>IF(MONTH(AL$3)=3,SUMIFS($C44:Y44,$C$3:Y$3,"&lt;="&amp;AL$3,$C$3:Y$3,"&gt;"&amp;DATE(YEAR(AL$3)-1,3,31)),SUMIFS($C44:Y44,$C$3:Y$3,"&lt;="&amp;AL$3,$C$3:Y$3,"&gt;"&amp;EOMONTH(AL$3,-MONTH(AL$3)+3)))</f>
        <v>394110.56576009793</v>
      </c>
      <c r="AM44" s="540">
        <f>IF(MONTH(AM$3)=3,SUMIFS($C44:Y44,$C$3:Y$3,"&lt;="&amp;AM$3,$C$3:Y$3,"&gt;"&amp;DATE(YEAR(AM$3)-1,3,31)),SUMIFS($C44:Y44,$C$3:Y$3,"&lt;="&amp;AM$3,$C$3:Y$3,"&gt;"&amp;EOMONTH(AM$3,-MONTH(AM$3)+3)))</f>
        <v>419651</v>
      </c>
    </row>
    <row r="45" spans="2:39" s="536" customFormat="1">
      <c r="B45" s="537" t="s">
        <v>849</v>
      </c>
      <c r="C45" s="540"/>
      <c r="D45" s="540"/>
      <c r="E45" s="540"/>
      <c r="F45" s="540"/>
      <c r="G45" s="548">
        <f>IFERROR(G44/C44-1,"")</f>
        <v>0.19145562576399433</v>
      </c>
      <c r="H45" s="548">
        <f t="shared" ref="H45" si="191">IFERROR(H44/D44-1,"")</f>
        <v>0.25995385860826214</v>
      </c>
      <c r="I45" s="548">
        <f t="shared" ref="I45" si="192">IFERROR(I44/E44-1,"")</f>
        <v>0.30241622845573168</v>
      </c>
      <c r="J45" s="548">
        <f t="shared" ref="J45" si="193">IFERROR(J44/F44-1,"")</f>
        <v>0.28909355407122073</v>
      </c>
      <c r="K45" s="548">
        <f t="shared" ref="K45" si="194">IFERROR(K44/G44-1,"")</f>
        <v>0.30348638069133438</v>
      </c>
      <c r="L45" s="548">
        <f t="shared" ref="L45" si="195">IFERROR(L44/H44-1,"")</f>
        <v>0.24498574914496563</v>
      </c>
      <c r="M45" s="548">
        <f t="shared" ref="M45" si="196">IFERROR(M44/I44-1,"")</f>
        <v>0.22393207413816429</v>
      </c>
      <c r="N45" s="548">
        <f t="shared" ref="N45" si="197">IFERROR(N44/J44-1,"")</f>
        <v>0.27141960248269514</v>
      </c>
      <c r="O45" s="548">
        <f t="shared" ref="O45" si="198">IFERROR(O44/K44-1,"")</f>
        <v>0.25892049050836952</v>
      </c>
      <c r="P45" s="548">
        <f t="shared" ref="P45" si="199">IFERROR(P44/L44-1,"")</f>
        <v>0.26420168786605513</v>
      </c>
      <c r="Q45" s="548">
        <f t="shared" ref="Q45" si="200">IFERROR(Q44/M44-1,"")</f>
        <v>0.24797874437902223</v>
      </c>
      <c r="R45" s="548">
        <f t="shared" ref="R45" si="201">IFERROR(R44/N44-1,"")</f>
        <v>0.17553630363036299</v>
      </c>
      <c r="S45" s="548">
        <f t="shared" ref="S45" si="202">IFERROR(S44/O44-1,"")</f>
        <v>0.18920846057946972</v>
      </c>
      <c r="T45" s="548">
        <f t="shared" ref="T45:X45" si="203">IFERROR(T44/P44-1,"")</f>
        <v>0.10968538112598436</v>
      </c>
      <c r="U45" s="548">
        <f t="shared" si="203"/>
        <v>7.7605214963925917E-2</v>
      </c>
      <c r="V45" s="548">
        <f t="shared" si="203"/>
        <v>4.1676443667971963E-2</v>
      </c>
      <c r="W45" s="548">
        <f t="shared" si="203"/>
        <v>1.0032360820617647E-2</v>
      </c>
      <c r="X45" s="548">
        <f t="shared" si="203"/>
        <v>0.11980415084487572</v>
      </c>
      <c r="Y45" s="548"/>
      <c r="Z45" s="548"/>
      <c r="AF45" s="581">
        <f>AF44/AA44-1</f>
        <v>0.10985969778396254</v>
      </c>
      <c r="AG45" s="550"/>
      <c r="AL45" s="537"/>
      <c r="AM45" s="548">
        <f>AM44/AL44-1</f>
        <v>6.4805251264055119E-2</v>
      </c>
    </row>
    <row r="46" spans="2:39" s="536" customFormat="1">
      <c r="B46" s="537" t="s">
        <v>799</v>
      </c>
      <c r="C46" s="543">
        <f>C44/C22</f>
        <v>0.40952073257176475</v>
      </c>
      <c r="D46" s="543">
        <f>D44/D22</f>
        <v>0.42289400084235235</v>
      </c>
      <c r="E46" s="543">
        <f t="shared" ref="E46:I46" si="204">E44/E22</f>
        <v>0.42602882228072914</v>
      </c>
      <c r="F46" s="543">
        <f t="shared" si="204"/>
        <v>0.42405522466516354</v>
      </c>
      <c r="G46" s="543">
        <f t="shared" si="204"/>
        <v>0.43445365870612651</v>
      </c>
      <c r="H46" s="543">
        <f t="shared" si="204"/>
        <v>0.44928754795138992</v>
      </c>
      <c r="I46" s="543">
        <f t="shared" si="204"/>
        <v>0.45922807646017733</v>
      </c>
      <c r="J46" s="543">
        <f t="shared" ref="J46:T46" si="205">J44/J22</f>
        <v>0.48871532160653741</v>
      </c>
      <c r="K46" s="543">
        <f t="shared" si="205"/>
        <v>0.49115947210057498</v>
      </c>
      <c r="L46" s="543">
        <f t="shared" si="205"/>
        <v>0.49486344893809309</v>
      </c>
      <c r="M46" s="543">
        <f t="shared" si="205"/>
        <v>0.49904240857680487</v>
      </c>
      <c r="N46" s="543">
        <f t="shared" si="205"/>
        <v>0.50788087732497789</v>
      </c>
      <c r="O46" s="543">
        <f t="shared" si="205"/>
        <v>0.50616090174887329</v>
      </c>
      <c r="P46" s="543">
        <f t="shared" si="205"/>
        <v>0.51325926526640175</v>
      </c>
      <c r="Q46" s="543">
        <f t="shared" si="205"/>
        <v>0.51951013817704006</v>
      </c>
      <c r="R46" s="543">
        <f t="shared" si="205"/>
        <v>0.52227776389236025</v>
      </c>
      <c r="S46" s="543">
        <f t="shared" si="205"/>
        <v>0.52740651709401709</v>
      </c>
      <c r="T46" s="543">
        <f t="shared" si="205"/>
        <v>0.5308568930835873</v>
      </c>
      <c r="U46" s="543">
        <f t="shared" ref="U46:V46" si="206">U44/U22</f>
        <v>0.52887937571177468</v>
      </c>
      <c r="V46" s="543">
        <f t="shared" si="206"/>
        <v>0.52103631132475103</v>
      </c>
      <c r="W46" s="543">
        <f t="shared" ref="W46:X46" si="207">W44/W22</f>
        <v>0.51794506887166814</v>
      </c>
      <c r="X46" s="543">
        <f t="shared" si="207"/>
        <v>0.53096570564676548</v>
      </c>
      <c r="Y46" s="543"/>
      <c r="Z46" s="543"/>
      <c r="AF46" s="544">
        <f>AF44/AF22</f>
        <v>0.52842141611741067</v>
      </c>
      <c r="AL46" s="543">
        <f>AL44/AL$22</f>
        <v>0.52912252833515194</v>
      </c>
      <c r="AM46" s="543">
        <f>AM44/AM$22</f>
        <v>0.52469689183630341</v>
      </c>
    </row>
    <row r="47" spans="2:39" s="536" customFormat="1">
      <c r="B47" s="537" t="s">
        <v>872</v>
      </c>
      <c r="C47" s="543"/>
      <c r="D47" s="543"/>
      <c r="E47" s="543"/>
      <c r="F47" s="543"/>
      <c r="G47" s="543">
        <f t="shared" ref="G47:X47" si="208">G46-C46</f>
        <v>2.4932926134361766E-2</v>
      </c>
      <c r="H47" s="543">
        <f t="shared" si="208"/>
        <v>2.6393547109037574E-2</v>
      </c>
      <c r="I47" s="543">
        <f t="shared" si="208"/>
        <v>3.319925417944819E-2</v>
      </c>
      <c r="J47" s="543">
        <f t="shared" si="208"/>
        <v>6.4660096941373868E-2</v>
      </c>
      <c r="K47" s="543">
        <f t="shared" si="208"/>
        <v>5.6705813394448468E-2</v>
      </c>
      <c r="L47" s="543">
        <f t="shared" si="208"/>
        <v>4.5575900986703166E-2</v>
      </c>
      <c r="M47" s="543">
        <f t="shared" si="208"/>
        <v>3.9814332116627549E-2</v>
      </c>
      <c r="N47" s="543">
        <f t="shared" si="208"/>
        <v>1.9165555718440475E-2</v>
      </c>
      <c r="O47" s="543">
        <f t="shared" si="208"/>
        <v>1.5001429648298314E-2</v>
      </c>
      <c r="P47" s="543">
        <f t="shared" si="208"/>
        <v>1.8395816328308667E-2</v>
      </c>
      <c r="Q47" s="543">
        <f t="shared" si="208"/>
        <v>2.0467729600235185E-2</v>
      </c>
      <c r="R47" s="543">
        <f t="shared" si="208"/>
        <v>1.4396886567382361E-2</v>
      </c>
      <c r="S47" s="543">
        <f t="shared" si="208"/>
        <v>2.1245615345143798E-2</v>
      </c>
      <c r="T47" s="543">
        <f t="shared" si="208"/>
        <v>1.7597627817185546E-2</v>
      </c>
      <c r="U47" s="543">
        <f t="shared" si="208"/>
        <v>9.3692375347346202E-3</v>
      </c>
      <c r="V47" s="543">
        <f t="shared" si="208"/>
        <v>-1.2414525676092136E-3</v>
      </c>
      <c r="W47" s="543">
        <f t="shared" si="208"/>
        <v>-9.461448222348956E-3</v>
      </c>
      <c r="X47" s="543">
        <f t="shared" si="208"/>
        <v>1.0881256317818444E-4</v>
      </c>
      <c r="Y47" s="543"/>
      <c r="Z47" s="543"/>
      <c r="AA47" s="540"/>
      <c r="AB47" s="540"/>
      <c r="AC47" s="540"/>
      <c r="AD47" s="540"/>
      <c r="AE47" s="540"/>
      <c r="AF47" s="541"/>
      <c r="AL47" s="540">
        <f>AL44-AL42</f>
        <v>286922.04401699686</v>
      </c>
      <c r="AM47" s="540">
        <f>AM44-AM42</f>
        <v>328775.97013596026</v>
      </c>
    </row>
    <row r="48" spans="2:39" s="536" customFormat="1">
      <c r="B48" s="537"/>
      <c r="C48" s="543"/>
      <c r="D48" s="543"/>
      <c r="E48" s="543"/>
      <c r="F48" s="543"/>
      <c r="G48" s="543"/>
      <c r="H48" s="543"/>
      <c r="I48" s="543"/>
      <c r="J48" s="543"/>
      <c r="K48" s="543"/>
      <c r="L48" s="543"/>
      <c r="M48" s="543"/>
      <c r="N48" s="543"/>
      <c r="O48" s="543"/>
      <c r="P48" s="543"/>
      <c r="Q48" s="543"/>
      <c r="R48" s="543"/>
      <c r="S48" s="543"/>
      <c r="T48" s="543"/>
      <c r="U48" s="543"/>
      <c r="V48" s="543"/>
      <c r="W48" s="543"/>
      <c r="X48" s="543"/>
      <c r="Y48" s="543"/>
      <c r="Z48" s="543"/>
      <c r="AF48" s="544"/>
      <c r="AM48" s="548">
        <f>AM47/AL47-1</f>
        <v>0.14587211750270401</v>
      </c>
    </row>
    <row r="49" spans="2:39" s="536" customFormat="1">
      <c r="B49" s="536" t="s">
        <v>886</v>
      </c>
      <c r="C49" s="563">
        <f>C44-C42</f>
        <v>60720.008157438482</v>
      </c>
      <c r="D49" s="563">
        <f t="shared" ref="D49:W49" si="209">D44-D42</f>
        <v>63281</v>
      </c>
      <c r="E49" s="563">
        <f t="shared" si="209"/>
        <v>65170.119251929151</v>
      </c>
      <c r="F49" s="563">
        <f t="shared" si="209"/>
        <v>68971.648548466968</v>
      </c>
      <c r="G49" s="563">
        <f t="shared" si="209"/>
        <v>72760.322891817996</v>
      </c>
      <c r="H49" s="563">
        <f t="shared" si="209"/>
        <v>80140.652270448161</v>
      </c>
      <c r="I49" s="563">
        <f t="shared" si="209"/>
        <v>85925.07147566491</v>
      </c>
      <c r="J49" s="563">
        <f t="shared" si="209"/>
        <v>89580.962983744015</v>
      </c>
      <c r="K49" s="563">
        <f t="shared" si="209"/>
        <v>92621.164332882996</v>
      </c>
      <c r="L49" s="563">
        <f t="shared" si="209"/>
        <v>98433.742281724029</v>
      </c>
      <c r="M49" s="563">
        <f t="shared" si="209"/>
        <v>103857.40445146</v>
      </c>
      <c r="N49" s="563">
        <f t="shared" si="209"/>
        <v>114118.94162759498</v>
      </c>
      <c r="O49" s="563">
        <f t="shared" si="209"/>
        <v>118662.73168621591</v>
      </c>
      <c r="P49" s="563">
        <f t="shared" si="209"/>
        <v>125960.24226211</v>
      </c>
      <c r="Q49" s="563">
        <f t="shared" si="209"/>
        <v>131539.82996229024</v>
      </c>
      <c r="R49" s="563">
        <f t="shared" si="209"/>
        <v>133886.95401943388</v>
      </c>
      <c r="S49" s="563">
        <f t="shared" si="209"/>
        <v>141430.17500723104</v>
      </c>
      <c r="T49" s="563">
        <f t="shared" si="209"/>
        <v>145491.86900976583</v>
      </c>
      <c r="U49" s="563">
        <f t="shared" si="209"/>
        <v>149852.301535751</v>
      </c>
      <c r="V49" s="563">
        <f t="shared" si="209"/>
        <v>152668.05748045354</v>
      </c>
      <c r="W49" s="563">
        <f t="shared" si="209"/>
        <v>155825.47090243574</v>
      </c>
      <c r="X49" s="563">
        <f t="shared" ref="X49" si="210">X44-X42</f>
        <v>172950.49923352449</v>
      </c>
      <c r="Y49" s="543"/>
      <c r="Z49" s="543"/>
      <c r="AA49" s="563">
        <f>SUMIFS($C49:Y49,$C$3:Y$3,AA$3)</f>
        <v>145491.86900976583</v>
      </c>
      <c r="AB49" s="563">
        <f>SUMIFS($C49:Y49,$C$3:Y$3,AB$3)</f>
        <v>155825.47090243574</v>
      </c>
      <c r="AC49" s="563">
        <f>SUMIFS($C49:Y49,$C$3:Y$3,AC$3)</f>
        <v>172950.49923352449</v>
      </c>
      <c r="AD49" s="578">
        <f>IFERROR(AC49/AA49-1,"")</f>
        <v>0.18872965486418747</v>
      </c>
      <c r="AE49" s="578">
        <f>IFERROR(AC49/AB49-1,"")</f>
        <v>0.10989877477611443</v>
      </c>
      <c r="AF49" s="563">
        <f t="shared" ref="AF49" si="211">AF44-AF42</f>
        <v>172234.29695096347</v>
      </c>
      <c r="AG49" s="580">
        <f>AC49/AF49-1</f>
        <v>4.1583023546403197E-3</v>
      </c>
      <c r="AM49" s="548"/>
    </row>
    <row r="50" spans="2:39" s="536" customFormat="1">
      <c r="B50" s="537" t="s">
        <v>849</v>
      </c>
      <c r="C50" s="543"/>
      <c r="D50" s="543"/>
      <c r="E50" s="543"/>
      <c r="F50" s="543"/>
      <c r="G50" s="548">
        <f>IFERROR(G49/C49-1,"")</f>
        <v>0.19829237675924971</v>
      </c>
      <c r="H50" s="548">
        <f t="shared" ref="H50" si="212">IFERROR(H49/D49-1,"")</f>
        <v>0.26642518718806851</v>
      </c>
      <c r="I50" s="548">
        <f t="shared" ref="I50" si="213">IFERROR(I49/E49-1,"")</f>
        <v>0.31847344246069298</v>
      </c>
      <c r="J50" s="548">
        <f t="shared" ref="J50" si="214">IFERROR(J49/F49-1,"")</f>
        <v>0.29880849405527421</v>
      </c>
      <c r="K50" s="548">
        <f t="shared" ref="K50" si="215">IFERROR(K49/G49-1,"")</f>
        <v>0.27296252478970762</v>
      </c>
      <c r="L50" s="548">
        <f t="shared" ref="L50" si="216">IFERROR(L49/H49-1,"")</f>
        <v>0.22826230499775257</v>
      </c>
      <c r="M50" s="548">
        <f t="shared" ref="M50" si="217">IFERROR(M49/I49-1,"")</f>
        <v>0.20869732975286204</v>
      </c>
      <c r="N50" s="548">
        <f t="shared" ref="N50" si="218">IFERROR(N49/J49-1,"")</f>
        <v>0.27391956757937286</v>
      </c>
      <c r="O50" s="548">
        <f t="shared" ref="O50" si="219">IFERROR(O49/K49-1,"")</f>
        <v>0.28116216785764858</v>
      </c>
      <c r="P50" s="548">
        <f t="shared" ref="P50" si="220">IFERROR(P49/L49-1,"")</f>
        <v>0.2796449605827569</v>
      </c>
      <c r="Q50" s="548">
        <f t="shared" ref="Q50" si="221">IFERROR(Q49/M49-1,"")</f>
        <v>0.26654262791410521</v>
      </c>
      <c r="R50" s="548">
        <f t="shared" ref="R50" si="222">IFERROR(R49/N49-1,"")</f>
        <v>0.17322288578830292</v>
      </c>
      <c r="S50" s="548">
        <f t="shared" ref="S50" si="223">IFERROR(S49/O49-1,"")</f>
        <v>0.1918668397186396</v>
      </c>
      <c r="T50" s="548">
        <f t="shared" ref="T50" si="224">IFERROR(T49/P49-1,"")</f>
        <v>0.15506183853642153</v>
      </c>
      <c r="U50" s="548">
        <f t="shared" ref="U50" si="225">IFERROR(U49/Q49-1,"")</f>
        <v>0.13921617185236257</v>
      </c>
      <c r="V50" s="548">
        <f t="shared" ref="V50" si="226">IFERROR(V49/R49-1,"")</f>
        <v>0.14027582895263691</v>
      </c>
      <c r="W50" s="548">
        <f t="shared" ref="W50:X50" si="227">IFERROR(W49/S49-1,"")</f>
        <v>0.10178376640252829</v>
      </c>
      <c r="X50" s="548">
        <f t="shared" si="227"/>
        <v>0.18872965486418747</v>
      </c>
      <c r="Y50" s="543"/>
      <c r="Z50" s="543"/>
      <c r="AF50" s="544"/>
      <c r="AM50" s="548"/>
    </row>
    <row r="51" spans="2:39" s="536" customFormat="1">
      <c r="B51" s="537" t="s">
        <v>799</v>
      </c>
      <c r="C51" s="543"/>
      <c r="D51" s="543"/>
      <c r="E51" s="543"/>
      <c r="F51" s="543"/>
      <c r="G51" s="543">
        <f>G49/G26</f>
        <v>0.43209353876869044</v>
      </c>
      <c r="H51" s="543">
        <f t="shared" ref="H51:W51" si="228">H49/H26</f>
        <v>0.44785413683088976</v>
      </c>
      <c r="I51" s="543">
        <f t="shared" si="228"/>
        <v>0.45526482747968317</v>
      </c>
      <c r="J51" s="543">
        <f t="shared" si="228"/>
        <v>0.49368003984533815</v>
      </c>
      <c r="K51" s="543">
        <f t="shared" si="228"/>
        <v>0.49592928293390082</v>
      </c>
      <c r="L51" s="543">
        <f t="shared" si="228"/>
        <v>0.49878175334253422</v>
      </c>
      <c r="M51" s="543">
        <f t="shared" si="228"/>
        <v>0.50024518913295413</v>
      </c>
      <c r="N51" s="543">
        <f t="shared" si="228"/>
        <v>0.51144226621700484</v>
      </c>
      <c r="O51" s="543">
        <f t="shared" si="228"/>
        <v>0.51363534499178598</v>
      </c>
      <c r="P51" s="543">
        <f t="shared" si="228"/>
        <v>0.52305554950011413</v>
      </c>
      <c r="Q51" s="543">
        <f t="shared" si="228"/>
        <v>0.53218967562892217</v>
      </c>
      <c r="R51" s="543">
        <f t="shared" si="228"/>
        <v>0.53602979542860929</v>
      </c>
      <c r="S51" s="543">
        <f t="shared" si="228"/>
        <v>0.54139781808859455</v>
      </c>
      <c r="T51" s="543">
        <f t="shared" si="228"/>
        <v>0.54354867262194018</v>
      </c>
      <c r="U51" s="543">
        <f t="shared" si="228"/>
        <v>0.54289856977228101</v>
      </c>
      <c r="V51" s="543">
        <f t="shared" si="228"/>
        <v>0.53935161290065414</v>
      </c>
      <c r="W51" s="543">
        <f t="shared" si="228"/>
        <v>0.53975877347605106</v>
      </c>
      <c r="X51" s="543">
        <f t="shared" ref="X51" si="229">X49/X26</f>
        <v>0.55237777480489292</v>
      </c>
      <c r="Y51" s="543"/>
      <c r="Z51" s="543"/>
      <c r="AF51" s="544"/>
      <c r="AM51" s="548"/>
    </row>
    <row r="52" spans="2:39" s="536" customFormat="1">
      <c r="B52" s="537" t="s">
        <v>872</v>
      </c>
      <c r="C52" s="543"/>
      <c r="D52" s="543"/>
      <c r="E52" s="543"/>
      <c r="F52" s="543"/>
      <c r="G52" s="543">
        <f t="shared" ref="G52" si="230">G51-C51</f>
        <v>0.43209353876869044</v>
      </c>
      <c r="H52" s="543">
        <f t="shared" ref="H52" si="231">H51-D51</f>
        <v>0.44785413683088976</v>
      </c>
      <c r="I52" s="543">
        <f t="shared" ref="I52" si="232">I51-E51</f>
        <v>0.45526482747968317</v>
      </c>
      <c r="J52" s="543">
        <f t="shared" ref="J52" si="233">J51-F51</f>
        <v>0.49368003984533815</v>
      </c>
      <c r="K52" s="543">
        <f t="shared" ref="K52" si="234">K51-G51</f>
        <v>6.3835744165210373E-2</v>
      </c>
      <c r="L52" s="543">
        <f t="shared" ref="L52" si="235">L51-H51</f>
        <v>5.0927616511644458E-2</v>
      </c>
      <c r="M52" s="543">
        <f t="shared" ref="M52" si="236">M51-I51</f>
        <v>4.4980361653270962E-2</v>
      </c>
      <c r="N52" s="543">
        <f t="shared" ref="N52" si="237">N51-J51</f>
        <v>1.7762226371666689E-2</v>
      </c>
      <c r="O52" s="543">
        <f t="shared" ref="O52" si="238">O51-K51</f>
        <v>1.7706062057885164E-2</v>
      </c>
      <c r="P52" s="543">
        <f t="shared" ref="P52" si="239">P51-L51</f>
        <v>2.4273796157579908E-2</v>
      </c>
      <c r="Q52" s="543">
        <f t="shared" ref="Q52" si="240">Q51-M51</f>
        <v>3.1944486495968039E-2</v>
      </c>
      <c r="R52" s="543">
        <f t="shared" ref="R52" si="241">R51-N51</f>
        <v>2.4587529211604453E-2</v>
      </c>
      <c r="S52" s="543">
        <f t="shared" ref="S52" si="242">S51-O51</f>
        <v>2.7762473096808571E-2</v>
      </c>
      <c r="T52" s="543">
        <f t="shared" ref="T52" si="243">T51-P51</f>
        <v>2.0493123121826051E-2</v>
      </c>
      <c r="U52" s="543">
        <f t="shared" ref="U52" si="244">U51-Q51</f>
        <v>1.0708894143358849E-2</v>
      </c>
      <c r="V52" s="543">
        <f t="shared" ref="V52" si="245">V51-R51</f>
        <v>3.3218174720448523E-3</v>
      </c>
      <c r="W52" s="543">
        <f t="shared" ref="W52:X52" si="246">W51-S51</f>
        <v>-1.6390446125434943E-3</v>
      </c>
      <c r="X52" s="543">
        <f t="shared" si="246"/>
        <v>8.8291021829527416E-3</v>
      </c>
      <c r="Y52" s="543"/>
      <c r="Z52" s="543"/>
      <c r="AF52" s="544"/>
      <c r="AM52" s="548"/>
    </row>
    <row r="53" spans="2:39" s="536" customFormat="1">
      <c r="B53" s="537"/>
      <c r="C53" s="543"/>
      <c r="D53" s="543"/>
      <c r="E53" s="543"/>
      <c r="F53" s="543"/>
      <c r="G53" s="543"/>
      <c r="H53" s="543"/>
      <c r="I53" s="543"/>
      <c r="J53" s="543"/>
      <c r="K53" s="543"/>
      <c r="L53" s="543"/>
      <c r="M53" s="543"/>
      <c r="N53" s="543"/>
      <c r="O53" s="543"/>
      <c r="P53" s="543"/>
      <c r="Q53" s="543"/>
      <c r="R53" s="543"/>
      <c r="S53" s="543"/>
      <c r="T53" s="543"/>
      <c r="U53" s="543"/>
      <c r="V53" s="543"/>
      <c r="W53" s="543"/>
      <c r="X53" s="543"/>
      <c r="Y53" s="543"/>
      <c r="Z53" s="543"/>
      <c r="AF53" s="544"/>
      <c r="AM53" s="548"/>
    </row>
    <row r="54" spans="2:39" s="536" customFormat="1">
      <c r="B54" s="537" t="s">
        <v>803</v>
      </c>
      <c r="C54" s="538">
        <f>'Reported Group Profit and Loss'!AH25</f>
        <v>67587</v>
      </c>
      <c r="D54" s="538">
        <f>'Reported Group Profit and Loss'!AI25</f>
        <v>69351</v>
      </c>
      <c r="E54" s="538">
        <f>'Reported Group Profit and Loss'!AJ25</f>
        <v>69408</v>
      </c>
      <c r="F54" s="538">
        <f>'Reported Group Profit and Loss'!AK25</f>
        <v>68615</v>
      </c>
      <c r="G54" s="538">
        <f>'Reported Group Profit and Loss'!AL25</f>
        <v>71131.729533999998</v>
      </c>
      <c r="H54" s="538">
        <f>'Reported Group Profit and Loss'!AM25</f>
        <v>72862.270466000002</v>
      </c>
      <c r="I54" s="538">
        <f>'Reported Group Profit and Loss'!AN25</f>
        <v>75030.999999999985</v>
      </c>
      <c r="J54" s="538">
        <f>'Reported Group Profit and Loss'!AO25</f>
        <v>75019.149871999965</v>
      </c>
      <c r="K54" s="538">
        <f>'Reported Group Profit and Loss'!AP25</f>
        <v>77137</v>
      </c>
      <c r="L54" s="538">
        <f>'Reported Group Profit and Loss'!AQ25</f>
        <v>82472</v>
      </c>
      <c r="M54" s="538">
        <f>'Reported Group Profit and Loss'!AR25</f>
        <v>85472</v>
      </c>
      <c r="N54" s="538">
        <f>'Reported Group Profit and Loss'!AS25</f>
        <v>85826</v>
      </c>
      <c r="O54" s="538">
        <f>'Reported Group Profit and Loss'!AT25</f>
        <v>87814</v>
      </c>
      <c r="P54" s="538">
        <f>'Reported Group Profit and Loss'!AU25</f>
        <v>89468</v>
      </c>
      <c r="Q54" s="538">
        <f>'Reported Group Profit and Loss'!AV25</f>
        <v>92977</v>
      </c>
      <c r="R54" s="538">
        <f>'Reported Group Profit and Loss'!AW25</f>
        <v>94059</v>
      </c>
      <c r="S54" s="538">
        <f>'Reported Group Profit and Loss'!AX25</f>
        <v>96538</v>
      </c>
      <c r="T54" s="538">
        <f>'Reported Group Profit and Loss'!AY25</f>
        <v>97343</v>
      </c>
      <c r="U54" s="538">
        <f>'Reported Group Profit and Loss'!AZ25</f>
        <v>100743</v>
      </c>
      <c r="V54" s="538">
        <f>'Reported Group Profit and Loss'!BA25</f>
        <v>100752</v>
      </c>
      <c r="W54" s="538">
        <f>'Reported Group Profit and Loss'!BB25</f>
        <v>105401</v>
      </c>
      <c r="X54" s="538">
        <f>'Reported Group Profit and Loss'!BC25</f>
        <v>110000</v>
      </c>
      <c r="Y54" s="538"/>
      <c r="Z54" s="538"/>
      <c r="AA54" s="540">
        <f>SUMIFS($C54:Y54,$C$3:Y$3,AA$3)</f>
        <v>97343</v>
      </c>
      <c r="AB54" s="540">
        <f>SUMIFS($C54:Y54,$C$3:Y$3,AB$3)</f>
        <v>105401</v>
      </c>
      <c r="AC54" s="540">
        <f>SUMIFS($C54:Y54,$C$3:Y$3,AC$3)</f>
        <v>110000</v>
      </c>
      <c r="AD54" s="543">
        <f>IFERROR(AC54/AA54-1,"")</f>
        <v>0.13002475781514855</v>
      </c>
      <c r="AE54" s="543">
        <f>IFERROR(AC54/AB54-1,"")</f>
        <v>4.3633362112313945E-2</v>
      </c>
      <c r="AF54" s="539" cm="1">
        <f t="array" ref="AF54">_xll.VAData("BHARTI_IN", AF$4, "Depreciation and amortization", "Consensus", "CD", "IMPL","","")</f>
        <v>105899.85101178959</v>
      </c>
      <c r="AG54" s="549">
        <f>AC54/AF54-1</f>
        <v>3.8717230940711556E-2</v>
      </c>
      <c r="AH54" s="538">
        <f>AC54-AA54</f>
        <v>12657</v>
      </c>
      <c r="AL54" s="540">
        <f>IF(MONTH(AL$3)=3,SUMIFS($C54:Y54,$C$3:Y$3,"&lt;="&amp;AL$3,$C$3:Y$3,"&gt;"&amp;DATE(YEAR(AL$3)-1,3,31)),SUMIFS($C54:Y54,$C$3:Y$3,"&lt;="&amp;AL$3,$C$3:Y$3,"&gt;"&amp;EOMONTH(AL$3,-MONTH(AL$3)+3)))</f>
        <v>193881</v>
      </c>
      <c r="AM54" s="540">
        <f>IF(MONTH(AM$3)=3,SUMIFS($C54:Y54,$C$3:Y$3,"&lt;="&amp;AM$3,$C$3:Y$3,"&gt;"&amp;DATE(YEAR(AM$3)-1,3,31)),SUMIFS($C54:Y54,$C$3:Y$3,"&lt;="&amp;AM$3,$C$3:Y$3,"&gt;"&amp;EOMONTH(AM$3,-MONTH(AM$3)+3)))</f>
        <v>215401</v>
      </c>
    </row>
    <row r="55" spans="2:39" s="536" customFormat="1">
      <c r="AF55" s="545"/>
    </row>
    <row r="56" spans="2:39" s="536" customFormat="1">
      <c r="B56" s="564" t="s">
        <v>38</v>
      </c>
      <c r="C56" s="563">
        <f>C44-C54</f>
        <v>17339</v>
      </c>
      <c r="D56" s="563">
        <f>D44-D54</f>
        <v>20012</v>
      </c>
      <c r="E56" s="563">
        <f t="shared" ref="E56:I56" si="247">E44-E54</f>
        <v>24092.971654773908</v>
      </c>
      <c r="F56" s="563">
        <f t="shared" si="247"/>
        <v>28997</v>
      </c>
      <c r="G56" s="563">
        <f t="shared" si="247"/>
        <v>30053.830939632986</v>
      </c>
      <c r="H56" s="563">
        <f t="shared" si="247"/>
        <v>39730.986200810119</v>
      </c>
      <c r="I56" s="563">
        <f t="shared" si="247"/>
        <v>46746.182859556924</v>
      </c>
      <c r="J56" s="563">
        <f t="shared" ref="J56:T56" si="248">J44-J54</f>
        <v>50811.850128000035</v>
      </c>
      <c r="K56" s="563">
        <f t="shared" si="248"/>
        <v>54757</v>
      </c>
      <c r="L56" s="563">
        <f t="shared" si="248"/>
        <v>57705</v>
      </c>
      <c r="M56" s="563">
        <f t="shared" si="248"/>
        <v>63575</v>
      </c>
      <c r="N56" s="563">
        <f t="shared" si="248"/>
        <v>74158</v>
      </c>
      <c r="O56" s="563">
        <f t="shared" si="248"/>
        <v>78230.059175110888</v>
      </c>
      <c r="P56" s="563">
        <f t="shared" si="248"/>
        <v>87744</v>
      </c>
      <c r="Q56" s="563">
        <f t="shared" si="248"/>
        <v>93030.487913460121</v>
      </c>
      <c r="R56" s="563">
        <f t="shared" si="248"/>
        <v>94008</v>
      </c>
      <c r="S56" s="563">
        <f t="shared" si="248"/>
        <v>100923</v>
      </c>
      <c r="T56" s="563">
        <f t="shared" si="248"/>
        <v>99306.565760097932</v>
      </c>
      <c r="U56" s="563">
        <f t="shared" ref="U56:V56" si="249">U44-U54</f>
        <v>99699.638997884031</v>
      </c>
      <c r="V56" s="563">
        <f t="shared" si="249"/>
        <v>95152.96373130448</v>
      </c>
      <c r="W56" s="563">
        <f t="shared" ref="W56:X56" si="250">W44-W54</f>
        <v>94041</v>
      </c>
      <c r="X56" s="563">
        <f t="shared" si="250"/>
        <v>110209</v>
      </c>
      <c r="Y56" s="540"/>
      <c r="Z56" s="540"/>
      <c r="AA56" s="563">
        <f>SUMIFS($C56:Y56,$C$3:Y$3,AA$3)</f>
        <v>99306.565760097932</v>
      </c>
      <c r="AB56" s="563">
        <f>SUMIFS($C56:Y56,$C$3:Y$3,AB$3)</f>
        <v>94041</v>
      </c>
      <c r="AC56" s="563">
        <f>SUMIFS($C56:Y56,$C$3:Y$3,AC$3)</f>
        <v>110209</v>
      </c>
      <c r="AD56" s="578">
        <f>IFERROR(AC56/AA56-1,"")</f>
        <v>0.10978563357270721</v>
      </c>
      <c r="AE56" s="578">
        <f>IFERROR(AC56/AB56-1,"")</f>
        <v>0.17192501143118433</v>
      </c>
      <c r="AF56" s="579">
        <f>AF44-AF54</f>
        <v>112353.57661206015</v>
      </c>
      <c r="AG56" s="585">
        <f>AC56/AF56-1</f>
        <v>-1.90877467075663E-2</v>
      </c>
      <c r="AL56" s="540">
        <f>IF(MONTH(AL$3)=3,SUMIFS($C56:Y56,$C$3:Y$3,"&lt;="&amp;AL$3,$C$3:Y$3,"&gt;"&amp;DATE(YEAR(AL$3)-1,3,31)),SUMIFS($C56:Y56,$C$3:Y$3,"&lt;="&amp;AL$3,$C$3:Y$3,"&gt;"&amp;EOMONTH(AL$3,-MONTH(AL$3)+3)))</f>
        <v>200229.56576009793</v>
      </c>
      <c r="AM56" s="540">
        <f>IF(MONTH(AM$3)=3,SUMIFS($C56:Y56,$C$3:Y$3,"&lt;="&amp;AM$3,$C$3:Y$3,"&gt;"&amp;DATE(YEAR(AM$3)-1,3,31)),SUMIFS($C56:Y56,$C$3:Y$3,"&lt;="&amp;AM$3,$C$3:Y$3,"&gt;"&amp;EOMONTH(AM$3,-MONTH(AM$3)+3)))</f>
        <v>204250</v>
      </c>
    </row>
    <row r="57" spans="2:39" s="536" customFormat="1">
      <c r="B57" s="537" t="s">
        <v>225</v>
      </c>
      <c r="C57" s="538">
        <f>-'Reported Group Profit and Loss'!AH26</f>
        <v>-33928</v>
      </c>
      <c r="D57" s="538">
        <f>-'Reported Group Profit and Loss'!AI26</f>
        <v>-31872</v>
      </c>
      <c r="E57" s="538">
        <f>-'Reported Group Profit and Loss'!AJ26</f>
        <v>-32816</v>
      </c>
      <c r="F57" s="538">
        <f>-'Reported Group Profit and Loss'!AK26</f>
        <v>-41471</v>
      </c>
      <c r="G57" s="538">
        <f>-'Reported Group Profit and Loss'!AL26</f>
        <v>-34670.614348000003</v>
      </c>
      <c r="H57" s="538">
        <f>-'Reported Group Profit and Loss'!AM26</f>
        <v>-37914.385651999997</v>
      </c>
      <c r="I57" s="538">
        <f>-'Reported Group Profit and Loss'!AN26</f>
        <v>-39719</v>
      </c>
      <c r="J57" s="538">
        <f>-'Reported Group Profit and Loss'!AO26</f>
        <v>-38606</v>
      </c>
      <c r="K57" s="538">
        <f>-'Reported Group Profit and Loss'!AP26</f>
        <v>-42257</v>
      </c>
      <c r="L57" s="538">
        <f>-'Reported Group Profit and Loss'!AQ26</f>
        <v>-39641</v>
      </c>
      <c r="M57" s="538">
        <f>-'Reported Group Profit and Loss'!AR26</f>
        <v>-43671</v>
      </c>
      <c r="N57" s="538">
        <f>-'Reported Group Profit and Loss'!AS26</f>
        <v>-40593</v>
      </c>
      <c r="O57" s="538">
        <f>-'Reported Group Profit and Loss'!AT26</f>
        <v>-45109</v>
      </c>
      <c r="P57" s="538">
        <f>-'Reported Group Profit and Loss'!AU26</f>
        <v>-49403</v>
      </c>
      <c r="Q57" s="538">
        <f>-'Reported Group Profit and Loss'!AV26</f>
        <v>-46856</v>
      </c>
      <c r="R57" s="538">
        <f>-'Reported Group Profit and Loss'!AW26</f>
        <v>-51631</v>
      </c>
      <c r="S57" s="538">
        <f>-'Reported Group Profit and Loss'!AX26</f>
        <v>-56137</v>
      </c>
      <c r="T57" s="538">
        <f>-'Reported Group Profit and Loss'!AY26</f>
        <v>-51858</v>
      </c>
      <c r="U57" s="538">
        <f>-'Reported Group Profit and Loss'!AZ26</f>
        <v>-66449</v>
      </c>
      <c r="V57" s="538">
        <f>-'Reported Group Profit and Loss'!BA26</f>
        <v>-52033</v>
      </c>
      <c r="W57" s="538">
        <f>-'Reported Group Profit and Loss'!BB26</f>
        <v>-51524</v>
      </c>
      <c r="X57" s="538">
        <f>-'Reported Group Profit and Loss'!BC26</f>
        <v>-54237</v>
      </c>
      <c r="Y57" s="538"/>
      <c r="Z57" s="538"/>
      <c r="AA57" s="538">
        <f>SUMIFS($C57:Y57,$C$3:Y$3,AA$3)</f>
        <v>-51858</v>
      </c>
      <c r="AB57" s="538">
        <f>SUMIFS($C57:Y57,$C$3:Y$3,AB$3)</f>
        <v>-51524</v>
      </c>
      <c r="AC57" s="538">
        <f>SUMIFS($C57:Y57,$C$3:Y$3,AC$3)</f>
        <v>-54237</v>
      </c>
      <c r="AD57" s="582">
        <f>IFERROR(AC57/AA57-1,"")</f>
        <v>4.5875274788846454E-2</v>
      </c>
      <c r="AE57" s="582">
        <f>IFERROR(AC57/AB57-1,"")</f>
        <v>5.265507336386932E-2</v>
      </c>
      <c r="AF57" s="539" cm="1">
        <f t="array" ref="AF57">-_xll.VAData("BHARTI_IN", AF$4, "Finance costs", "Consensus", "CD", "IMPL","","")</f>
        <v>-48330.354470589715</v>
      </c>
      <c r="AG57" s="549">
        <f>AC57/AF57-1</f>
        <v>0.12221399147826717</v>
      </c>
      <c r="AH57" s="538">
        <f>AC57-AA57</f>
        <v>-2379</v>
      </c>
      <c r="AL57" s="540">
        <f>IF(MONTH(AL$3)=3,SUMIFS($C57:Y57,$C$3:Y$3,"&lt;="&amp;AL$3,$C$3:Y$3,"&gt;"&amp;DATE(YEAR(AL$3)-1,3,31)),SUMIFS($C57:Y57,$C$3:Y$3,"&lt;="&amp;AL$3,$C$3:Y$3,"&gt;"&amp;EOMONTH(AL$3,-MONTH(AL$3)+3)))</f>
        <v>-107995</v>
      </c>
      <c r="AM57" s="540">
        <f>IF(MONTH(AM$3)=3,SUMIFS($C57:Y57,$C$3:Y$3,"&lt;="&amp;AM$3,$C$3:Y$3,"&gt;"&amp;DATE(YEAR(AM$3)-1,3,31)),SUMIFS($C57:Y57,$C$3:Y$3,"&lt;="&amp;AM$3,$C$3:Y$3,"&gt;"&amp;EOMONTH(AM$3,-MONTH(AM$3)+3)))</f>
        <v>-105761</v>
      </c>
    </row>
    <row r="58" spans="2:39" s="536" customFormat="1">
      <c r="C58" s="538"/>
      <c r="D58" s="538"/>
      <c r="E58" s="538"/>
      <c r="F58" s="538"/>
      <c r="G58" s="538"/>
      <c r="H58" s="538"/>
      <c r="I58" s="538"/>
      <c r="J58" s="538"/>
      <c r="K58" s="538"/>
      <c r="L58" s="538"/>
      <c r="M58" s="538"/>
      <c r="N58" s="538"/>
      <c r="O58" s="538"/>
      <c r="P58" s="538"/>
      <c r="Q58" s="538"/>
      <c r="R58" s="538"/>
      <c r="S58" s="538"/>
      <c r="T58" s="538"/>
      <c r="U58" s="538"/>
      <c r="V58" s="538"/>
      <c r="W58" s="538"/>
      <c r="X58" s="538"/>
      <c r="Y58" s="538"/>
      <c r="Z58" s="538"/>
      <c r="AF58" s="539"/>
    </row>
    <row r="59" spans="2:39" s="536" customFormat="1">
      <c r="B59" s="537" t="s">
        <v>804</v>
      </c>
      <c r="C59" s="538">
        <f>-'Reported Group Profit and Loss'!AH42-'Reported Group Profit and Loss'!AH43</f>
        <v>6070</v>
      </c>
      <c r="D59" s="538">
        <f>-'Reported Group Profit and Loss'!AI42-'Reported Group Profit and Loss'!AI43</f>
        <v>85039</v>
      </c>
      <c r="E59" s="538">
        <f>-'Reported Group Profit and Loss'!AJ42-'Reported Group Profit and Loss'!AJ43</f>
        <v>10379</v>
      </c>
      <c r="F59" s="538">
        <f>-'Reported Group Profit and Loss'!AK42-'Reported Group Profit and Loss'!AK43</f>
        <v>21520</v>
      </c>
      <c r="G59" s="538">
        <f>-'Reported Group Profit and Loss'!AL42-'Reported Group Profit and Loss'!AL43</f>
        <v>-37021.975781000001</v>
      </c>
      <c r="H59" s="538">
        <f>-'Reported Group Profit and Loss'!AM42-'Reported Group Profit and Loss'!AM43</f>
        <v>-4135.0242190000017</v>
      </c>
      <c r="I59" s="538">
        <f>-'Reported Group Profit and Loss'!AN42-'Reported Group Profit and Loss'!AN43</f>
        <v>-43067</v>
      </c>
      <c r="J59" s="538">
        <f>-'Reported Group Profit and Loss'!AO42-'Reported Group Profit and Loss'!AO43</f>
        <v>-5100.9999999999991</v>
      </c>
      <c r="K59" s="538">
        <f>-'Reported Group Profit and Loss'!AP42-'Reported Group Profit and Loss'!AP43</f>
        <v>-8345</v>
      </c>
      <c r="L59" s="538">
        <f>-'Reported Group Profit and Loss'!AQ42-'Reported Group Profit and Loss'!AQ43</f>
        <v>-10308</v>
      </c>
      <c r="M59" s="538">
        <f>-'Reported Group Profit and Loss'!AR42-'Reported Group Profit and Loss'!AR43</f>
        <v>-9908</v>
      </c>
      <c r="N59" s="538">
        <f>-'Reported Group Profit and Loss'!AS42-'Reported Group Profit and Loss'!AS43</f>
        <v>-13218</v>
      </c>
      <c r="O59" s="538">
        <f>-'Reported Group Profit and Loss'!AT42-'Reported Group Profit and Loss'!AT43</f>
        <v>-11233</v>
      </c>
      <c r="P59" s="538">
        <f>-'Reported Group Profit and Loss'!AU42-'Reported Group Profit and Loss'!AU43</f>
        <v>-12864</v>
      </c>
      <c r="Q59" s="538">
        <f>-'Reported Group Profit and Loss'!AV42-'Reported Group Profit and Loss'!AV43</f>
        <v>-10756</v>
      </c>
      <c r="R59" s="538">
        <f>-'Reported Group Profit and Loss'!AW42-'Reported Group Profit and Loss'!AW43</f>
        <v>-7880</v>
      </c>
      <c r="S59" s="538">
        <f>-'Reported Group Profit and Loss'!AX42-'Reported Group Profit and Loss'!AX43</f>
        <v>-3327</v>
      </c>
      <c r="T59" s="538">
        <f>-'Reported Group Profit and Loss'!AY42-'Reported Group Profit and Loss'!AY43</f>
        <v>-18465</v>
      </c>
      <c r="U59" s="538">
        <f>-'Reported Group Profit and Loss'!AZ42-'Reported Group Profit and Loss'!AZ43</f>
        <v>-12320</v>
      </c>
      <c r="V59" s="538">
        <f>-'Reported Group Profit and Loss'!BA42-'Reported Group Profit and Loss'!BA43</f>
        <v>-7098</v>
      </c>
      <c r="W59" s="538">
        <f>-'Reported Group Profit and Loss'!BB42-'Reported Group Profit and Loss'!BB43</f>
        <v>-13078</v>
      </c>
      <c r="X59" s="538">
        <f>-'Reported Group Profit and Loss'!BC42-'Reported Group Profit and Loss'!BC43</f>
        <v>-17440</v>
      </c>
      <c r="Y59" s="538"/>
      <c r="Z59" s="538"/>
      <c r="AA59" s="538">
        <f>SUMIFS($C59:Y59,$C$3:Y$3,AA$3)</f>
        <v>-18465</v>
      </c>
      <c r="AB59" s="538">
        <f>SUMIFS($C59:Y59,$C$3:Y$3,AB$3)</f>
        <v>-13078</v>
      </c>
      <c r="AC59" s="538">
        <f>SUMIFS($C59:Y59,$C$3:Y$3,AC$3)</f>
        <v>-17440</v>
      </c>
      <c r="AD59" s="582">
        <f>IFERROR(AC59/AA59-1,"")</f>
        <v>-5.5510425128621699E-2</v>
      </c>
      <c r="AE59" s="582">
        <f>IFERROR(AC59/AB59-1,"")</f>
        <v>0.33353723810980274</v>
      </c>
      <c r="AF59" s="539" cm="1">
        <f t="array" ref="AF59">-_xll.VAData("BHARTI_IN", AF$4, "Income tax expense including exceptional items", "Consensus", "CD", "IMPL","","")</f>
        <v>-18667.719169841646</v>
      </c>
      <c r="AG59" s="549">
        <f>AC59/AF59-1</f>
        <v>-6.5766961602093832E-2</v>
      </c>
      <c r="AH59" s="538">
        <f>AC59-AA59</f>
        <v>1025</v>
      </c>
      <c r="AL59" s="540">
        <f>IF(MONTH(AL$3)=3,SUMIFS($C59:Y59,$C$3:Y$3,"&lt;="&amp;AL$3,$C$3:Y$3,"&gt;"&amp;DATE(YEAR(AL$3)-1,3,31)),SUMIFS($C59:Y59,$C$3:Y$3,"&lt;="&amp;AL$3,$C$3:Y$3,"&gt;"&amp;EOMONTH(AL$3,-MONTH(AL$3)+3)))</f>
        <v>-21792</v>
      </c>
      <c r="AM59" s="540">
        <f>IF(MONTH(AM$3)=3,SUMIFS($C59:Y59,$C$3:Y$3,"&lt;="&amp;AM$3,$C$3:Y$3,"&gt;"&amp;DATE(YEAR(AM$3)-1,3,31)),SUMIFS($C59:Y59,$C$3:Y$3,"&lt;="&amp;AM$3,$C$3:Y$3,"&gt;"&amp;EOMONTH(AM$3,-MONTH(AM$3)+3)))</f>
        <v>-30518</v>
      </c>
    </row>
    <row r="60" spans="2:39" s="536" customFormat="1">
      <c r="C60" s="538"/>
      <c r="D60" s="538"/>
      <c r="E60" s="538"/>
      <c r="F60" s="538"/>
      <c r="G60" s="538"/>
      <c r="H60" s="538"/>
      <c r="I60" s="538"/>
      <c r="J60" s="538"/>
      <c r="K60" s="538"/>
      <c r="L60" s="538"/>
      <c r="M60" s="538"/>
      <c r="N60" s="538"/>
      <c r="O60" s="538"/>
      <c r="P60" s="538"/>
      <c r="Q60" s="538"/>
      <c r="R60" s="538"/>
      <c r="S60" s="538"/>
      <c r="T60" s="538"/>
      <c r="U60" s="538"/>
      <c r="V60" s="538"/>
      <c r="W60" s="538"/>
      <c r="X60" s="538"/>
      <c r="Y60" s="538"/>
      <c r="Z60" s="538"/>
      <c r="AF60" s="539"/>
    </row>
    <row r="61" spans="2:39">
      <c r="B61" s="564" t="s">
        <v>854</v>
      </c>
      <c r="C61" s="563">
        <f>'Reported Group Profit and Loss'!AH49</f>
        <v>-30610</v>
      </c>
      <c r="D61" s="563">
        <f>'Reported Group Profit and Loss'!AI49</f>
        <v>-229330</v>
      </c>
      <c r="E61" s="563">
        <f>'Reported Group Profit and Loss'!AJ49</f>
        <v>-11422.5</v>
      </c>
      <c r="F61" s="563">
        <f>'Reported Group Profit and Loss'!AK49</f>
        <v>-52370</v>
      </c>
      <c r="G61" s="563">
        <f>'Reported Group Profit and Loss'!AL49</f>
        <v>-159330.89035286458</v>
      </c>
      <c r="H61" s="563">
        <f>'Reported Group Profit and Loss'!AM49</f>
        <v>-7632.1096471354249</v>
      </c>
      <c r="I61" s="563">
        <f>'Reported Group Profit and Loss'!AN49</f>
        <v>8536</v>
      </c>
      <c r="J61" s="563">
        <f>'Reported Group Profit and Loss'!AO49</f>
        <v>7591.85012800002</v>
      </c>
      <c r="K61" s="563">
        <f>'Reported Group Profit and Loss'!AP49</f>
        <v>2835</v>
      </c>
      <c r="L61" s="563">
        <f>'Reported Group Profit and Loss'!AQ49</f>
        <v>11340</v>
      </c>
      <c r="M61" s="563">
        <f>'Reported Group Profit and Loss'!AR49</f>
        <v>8296</v>
      </c>
      <c r="N61" s="563">
        <f>'Reported Group Profit and Loss'!AS49</f>
        <v>20078</v>
      </c>
      <c r="O61" s="563">
        <f>'Reported Group Profit and Loss'!AT49</f>
        <v>16069</v>
      </c>
      <c r="P61" s="563">
        <f>'Reported Group Profit and Loss'!AU49</f>
        <v>21452</v>
      </c>
      <c r="Q61" s="563">
        <f>'Reported Group Profit and Loss'!AV49</f>
        <v>15882</v>
      </c>
      <c r="R61" s="563">
        <f>'Reported Group Profit and Loss'!AW49</f>
        <v>30056</v>
      </c>
      <c r="S61" s="563">
        <f>'Reported Group Profit and Loss'!AX49</f>
        <v>16125</v>
      </c>
      <c r="T61" s="563">
        <f>'Reported Group Profit and Loss'!AY49</f>
        <v>13407</v>
      </c>
      <c r="U61" s="563">
        <f>'Reported Group Profit and Loss'!AZ49</f>
        <v>24422</v>
      </c>
      <c r="V61" s="563">
        <f>'Reported Group Profit and Loss'!BA49</f>
        <v>20716</v>
      </c>
      <c r="W61" s="563">
        <f>'Reported Group Profit and Loss'!BB49</f>
        <v>41599</v>
      </c>
      <c r="X61" s="563">
        <f>'Reported Group Profit and Loss'!BC49</f>
        <v>35932</v>
      </c>
      <c r="Y61" s="540"/>
      <c r="Z61" s="540"/>
      <c r="AA61" s="583">
        <f>SUMIFS($C61:Y61,$C$3:Y$3,AA$3)</f>
        <v>13407</v>
      </c>
      <c r="AB61" s="583">
        <f>SUMIFS($C61:Y61,$C$3:Y$3,AB$3)</f>
        <v>41599</v>
      </c>
      <c r="AC61" s="583">
        <f>SUMIFS($C61:Y61,$C$3:Y$3,AC$3)</f>
        <v>35932</v>
      </c>
      <c r="AD61" s="578">
        <f>IFERROR(AC61/AA61-1,"")</f>
        <v>1.6800924889982847</v>
      </c>
      <c r="AE61" s="578">
        <f>IFERROR(AC61/AB61-1,"")</f>
        <v>-0.13622923627971828</v>
      </c>
      <c r="AF61" s="584" cm="1">
        <f t="array" ref="AF61">_xll.VAData("BHARTI_IN", AF$4, "Net income attributable to equity holders of the parent", "Consensus", "CD", "IMPL","","")</f>
        <v>48479.321926209159</v>
      </c>
      <c r="AG61" s="585">
        <f>AC61/AF61-1</f>
        <v>-0.25881801617001898</v>
      </c>
      <c r="AH61" s="538">
        <f>AC61-AA61</f>
        <v>22525</v>
      </c>
      <c r="AL61" s="540">
        <f>IF(MONTH(AL$3)=3,SUMIFS($C61:Y61,$C$3:Y$3,"&lt;="&amp;AL$3,$C$3:Y$3,"&gt;"&amp;DATE(YEAR(AL$3)-1,3,31)),SUMIFS($C61:Y61,$C$3:Y$3,"&lt;="&amp;AL$3,$C$3:Y$3,"&gt;"&amp;EOMONTH(AL$3,-MONTH(AL$3)+3)))</f>
        <v>29532</v>
      </c>
      <c r="AM61" s="540">
        <f>IF(MONTH(AM$3)=3,SUMIFS($C61:Y61,$C$3:Y$3,"&lt;="&amp;AM$3,$C$3:Y$3,"&gt;"&amp;DATE(YEAR(AM$3)-1,3,31)),SUMIFS($C61:Y61,$C$3:Y$3,"&lt;="&amp;AM$3,$C$3:Y$3,"&gt;"&amp;EOMONTH(AM$3,-MONTH(AM$3)+3)))</f>
        <v>77531</v>
      </c>
    </row>
    <row r="62" spans="2:39">
      <c r="B62" s="561" t="s">
        <v>849</v>
      </c>
      <c r="C62" s="538"/>
      <c r="D62" s="538"/>
      <c r="E62" s="538"/>
      <c r="F62" s="538"/>
      <c r="G62" s="548">
        <f>IFERROR(G61/C61-1,"")</f>
        <v>4.2051907988521586</v>
      </c>
      <c r="H62" s="548">
        <f t="shared" ref="H62" si="251">IFERROR(H61/D61-1,"")</f>
        <v>-0.96671996839865948</v>
      </c>
      <c r="I62" s="548">
        <f t="shared" ref="I62" si="252">IFERROR(I61/E61-1,"")</f>
        <v>-1.7472970015320639</v>
      </c>
      <c r="J62" s="548">
        <f t="shared" ref="J62" si="253">IFERROR(J61/F61-1,"")</f>
        <v>-1.1449656316211576</v>
      </c>
      <c r="K62" s="548">
        <f t="shared" ref="K62" si="254">IFERROR(K61/G61-1,"")</f>
        <v>-1.0177931598431504</v>
      </c>
      <c r="L62" s="548">
        <f t="shared" ref="L62" si="255">IFERROR(L61/H61-1,"")</f>
        <v>-2.4858277100691635</v>
      </c>
      <c r="M62" s="548">
        <f t="shared" ref="M62" si="256">IFERROR(M61/I61-1,"")</f>
        <v>-2.8116213683224034E-2</v>
      </c>
      <c r="N62" s="548">
        <f t="shared" ref="N62" si="257">IFERROR(N61/J61-1,"")</f>
        <v>1.6446781300316982</v>
      </c>
      <c r="O62" s="548">
        <f t="shared" ref="O62" si="258">IFERROR(O61/K61-1,"")</f>
        <v>4.6680776014109346</v>
      </c>
      <c r="P62" s="548">
        <f t="shared" ref="P62" si="259">IFERROR(P61/L61-1,"")</f>
        <v>0.89171075837742508</v>
      </c>
      <c r="Q62" s="548">
        <f t="shared" ref="Q62" si="260">IFERROR(Q61/M61-1,"")</f>
        <v>0.91441658630665379</v>
      </c>
      <c r="R62" s="548">
        <f t="shared" ref="R62" si="261">IFERROR(R61/N61-1,"")</f>
        <v>0.49696184878972005</v>
      </c>
      <c r="S62" s="548">
        <f t="shared" ref="S62" si="262">IFERROR(S61/O61-1,"")</f>
        <v>3.4849710622939511E-3</v>
      </c>
      <c r="T62" s="548">
        <f t="shared" ref="T62:X62" si="263">IFERROR(T61/P61-1,"")</f>
        <v>-0.37502330785008386</v>
      </c>
      <c r="U62" s="548">
        <f t="shared" si="263"/>
        <v>0.53771565294043566</v>
      </c>
      <c r="V62" s="548">
        <f t="shared" si="263"/>
        <v>-0.31075326058025021</v>
      </c>
      <c r="W62" s="548">
        <f t="shared" si="263"/>
        <v>1.5797829457364343</v>
      </c>
      <c r="X62" s="548">
        <f t="shared" si="263"/>
        <v>1.6800924889982847</v>
      </c>
      <c r="Y62" s="548"/>
      <c r="Z62" s="548"/>
      <c r="AF62" s="581">
        <f>AF61/AA61-1</f>
        <v>2.6159709052143776</v>
      </c>
      <c r="AM62" s="548">
        <f>AM61/AL61-1</f>
        <v>1.6253216849519165</v>
      </c>
    </row>
    <row r="63" spans="2:39">
      <c r="B63" s="561" t="s">
        <v>855</v>
      </c>
      <c r="C63" s="548">
        <f>C61/C$22</f>
        <v>-0.14760414506772623</v>
      </c>
      <c r="D63" s="548">
        <f t="shared" ref="D63:T63" si="264">D61/D$22</f>
        <v>-1.085262146673418</v>
      </c>
      <c r="E63" s="548">
        <f t="shared" si="264"/>
        <v>-5.2045600557704665E-2</v>
      </c>
      <c r="F63" s="548">
        <f t="shared" si="264"/>
        <v>-0.22751067610247322</v>
      </c>
      <c r="G63" s="548">
        <f t="shared" si="264"/>
        <v>-0.68410836422400989</v>
      </c>
      <c r="H63" s="548">
        <f t="shared" si="264"/>
        <v>-3.0454859647633017E-2</v>
      </c>
      <c r="I63" s="548">
        <f t="shared" si="264"/>
        <v>3.2189698994637563E-2</v>
      </c>
      <c r="J63" s="548">
        <f t="shared" si="264"/>
        <v>2.9486004854878064E-2</v>
      </c>
      <c r="K63" s="548">
        <f t="shared" si="264"/>
        <v>1.05572437215122E-2</v>
      </c>
      <c r="L63" s="548">
        <f t="shared" si="264"/>
        <v>4.0033325802078627E-2</v>
      </c>
      <c r="M63" s="548">
        <f t="shared" si="264"/>
        <v>2.7776847716177937E-2</v>
      </c>
      <c r="N63" s="548">
        <f t="shared" si="264"/>
        <v>6.3739075500868242E-2</v>
      </c>
      <c r="O63" s="548">
        <f t="shared" si="264"/>
        <v>4.8983983953469937E-2</v>
      </c>
      <c r="P63" s="548">
        <f t="shared" si="264"/>
        <v>6.2131445717529571E-2</v>
      </c>
      <c r="Q63" s="548">
        <f t="shared" si="264"/>
        <v>4.4357676710125013E-2</v>
      </c>
      <c r="R63" s="548">
        <f t="shared" si="264"/>
        <v>8.3468021883418037E-2</v>
      </c>
      <c r="S63" s="548">
        <f t="shared" si="264"/>
        <v>4.3068910256410256E-2</v>
      </c>
      <c r="T63" s="548">
        <f t="shared" si="264"/>
        <v>3.6192291287610881E-2</v>
      </c>
      <c r="U63" s="548">
        <f t="shared" ref="U63:V63" si="265">U61/U$22</f>
        <v>6.4438844839641685E-2</v>
      </c>
      <c r="V63" s="548">
        <f t="shared" si="265"/>
        <v>5.5097063493541071E-2</v>
      </c>
      <c r="W63" s="548">
        <f t="shared" ref="W63:X63" si="266">W61/W$22</f>
        <v>0.1080313921841564</v>
      </c>
      <c r="X63" s="548">
        <f t="shared" si="266"/>
        <v>8.6638873684997342E-2</v>
      </c>
      <c r="Y63" s="548"/>
      <c r="Z63" s="548"/>
      <c r="AA63" s="548">
        <f t="shared" ref="AA63:AC63" si="267">AA61/AA$22</f>
        <v>3.6192291287610881E-2</v>
      </c>
      <c r="AB63" s="548">
        <f t="shared" si="267"/>
        <v>0.1080313921841564</v>
      </c>
      <c r="AC63" s="548">
        <f t="shared" si="267"/>
        <v>8.6638873684997342E-2</v>
      </c>
      <c r="AF63" s="548">
        <f t="shared" ref="AF63" si="268">AF61/AF$22</f>
        <v>0.11737507274712745</v>
      </c>
      <c r="AL63" s="543">
        <f>AL61/AL$22</f>
        <v>3.9648890094221831E-2</v>
      </c>
      <c r="AM63" s="543">
        <f>AM61/AM$22</f>
        <v>9.6938348105831851E-2</v>
      </c>
    </row>
    <row r="64" spans="2:39">
      <c r="AF64" s="542"/>
    </row>
    <row r="65" spans="2:40">
      <c r="B65" s="557" t="s">
        <v>39</v>
      </c>
      <c r="AF65" s="542"/>
      <c r="AM65" s="570"/>
    </row>
    <row r="66" spans="2:40">
      <c r="B66" s="537" t="s">
        <v>802</v>
      </c>
      <c r="C66" s="538">
        <f>'Revenue, EBITDA, capex breakout'!AH30</f>
        <v>36426.14725234059</v>
      </c>
      <c r="D66" s="538">
        <f>'Revenue, EBITDA, capex breakout'!AI30</f>
        <v>19639</v>
      </c>
      <c r="E66" s="538">
        <f>'Revenue, EBITDA, capex breakout'!AJ30</f>
        <v>25414.761618341508</v>
      </c>
      <c r="F66" s="538">
        <f>'Revenue, EBITDA, capex breakout'!AK30</f>
        <v>69968.40667095744</v>
      </c>
      <c r="G66" s="538">
        <f>'Revenue, EBITDA, capex breakout'!AL30</f>
        <v>25584.627460142372</v>
      </c>
      <c r="H66" s="538">
        <f>'Revenue, EBITDA, capex breakout'!AM30</f>
        <v>41736.28195331536</v>
      </c>
      <c r="I66" s="538">
        <f>'Revenue, EBITDA, capex breakout'!AN30</f>
        <v>42049.372850048363</v>
      </c>
      <c r="J66" s="538">
        <f>'Revenue, EBITDA, capex breakout'!AO30</f>
        <v>37392.685751981611</v>
      </c>
      <c r="K66" s="538">
        <f>'Revenue, EBITDA, capex breakout'!AP30</f>
        <v>43744.246684934405</v>
      </c>
      <c r="L66" s="538">
        <f>'Revenue, EBITDA, capex breakout'!AQ30</f>
        <v>46293</v>
      </c>
      <c r="M66" s="538">
        <f>'Revenue, EBITDA, capex breakout'!AR30</f>
        <v>29037.67337424578</v>
      </c>
      <c r="N66" s="538">
        <f>'Revenue, EBITDA, capex breakout'!AS30</f>
        <v>25557.680616848622</v>
      </c>
      <c r="O66" s="538">
        <f>'Revenue, EBITDA, capex breakout'!AT30</f>
        <v>36085.710373217546</v>
      </c>
      <c r="P66" s="538">
        <f>'Revenue, EBITDA, capex breakout'!AU30</f>
        <v>38452.289661312308</v>
      </c>
      <c r="Q66" s="538">
        <f>'Revenue, EBITDA, capex breakout'!AV30</f>
        <v>63793.401411513245</v>
      </c>
      <c r="R66" s="538">
        <f>'Revenue, EBITDA, capex breakout'!AW30</f>
        <v>66470.989126067885</v>
      </c>
      <c r="S66" s="538">
        <f>'Revenue, EBITDA, capex breakout'!AX30</f>
        <v>78289.521208909544</v>
      </c>
      <c r="T66" s="538">
        <f>'Revenue, EBITDA, capex breakout'!AY30</f>
        <v>56856.13662305475</v>
      </c>
      <c r="U66" s="538">
        <f>'Revenue, EBITDA, capex breakout'!AZ30</f>
        <v>57479.019008993986</v>
      </c>
      <c r="V66" s="538">
        <f>'Revenue, EBITDA, capex breakout'!BA30</f>
        <v>60102.239916877508</v>
      </c>
      <c r="W66" s="538">
        <f>'Revenue, EBITDA, capex breakout'!BB30</f>
        <v>48480.646700913472</v>
      </c>
      <c r="X66" s="538">
        <f>'Revenue, EBITDA, capex breakout'!BC30</f>
        <v>39881.223553814874</v>
      </c>
      <c r="Y66" s="538"/>
      <c r="Z66" s="538"/>
      <c r="AA66" s="538">
        <f>SUMIFS($C66:Y66,$C$3:Y$3,AA$3)</f>
        <v>56856.13662305475</v>
      </c>
      <c r="AB66" s="538">
        <f>SUMIFS($C66:Y66,$C$3:Y$3,AB$3)</f>
        <v>48480.646700913472</v>
      </c>
      <c r="AC66" s="538">
        <f>SUMIFS($C66:Y66,$C$3:Y$3,AC$3)</f>
        <v>39881.223553814874</v>
      </c>
      <c r="AD66" s="582">
        <f>IFERROR(AC66/AA66-1,"")</f>
        <v>-0.29855903122261518</v>
      </c>
      <c r="AE66" s="582">
        <f>IFERROR(AC66/AB66-1,"")</f>
        <v>-0.17737847434565202</v>
      </c>
      <c r="AF66" s="539" cm="1">
        <f t="array" ref="AF66">_xll.VAData("BHARTI_IN", AF$4, "Capex - Mobile - India", "Consensus", "CD", "IMPL","","")</f>
        <v>56702.114398606333</v>
      </c>
      <c r="AG66" s="549">
        <f>AC66/AF66-1</f>
        <v>-0.29665367902409112</v>
      </c>
      <c r="AL66" s="540">
        <f>IF(MONTH(AL$3)=3,SUMIFS($C66:Y66,$C$3:Y$3,"&lt;="&amp;AL$3,$C$3:Y$3,"&gt;"&amp;DATE(YEAR(AL$3)-1,3,31)),SUMIFS($C66:Y66,$C$3:Y$3,"&lt;="&amp;AL$3,$C$3:Y$3,"&gt;"&amp;EOMONTH(AL$3,-MONTH(AL$3)+3)))</f>
        <v>135145.65783196429</v>
      </c>
      <c r="AM66" s="540">
        <f>IF(MONTH(AM$3)=3,SUMIFS($C66:Y66,$C$3:Y$3,"&lt;="&amp;AM$3,$C$3:Y$3,"&gt;"&amp;DATE(YEAR(AM$3)-1,3,31)),SUMIFS($C66:Y66,$C$3:Y$3,"&lt;="&amp;AM$3,$C$3:Y$3,"&gt;"&amp;EOMONTH(AM$3,-MONTH(AM$3)+3)))</f>
        <v>88361.870254728346</v>
      </c>
      <c r="AN66" s="568">
        <f>AM66/AL66-1</f>
        <v>-0.34617307228179972</v>
      </c>
    </row>
    <row r="67" spans="2:40" s="536" customFormat="1">
      <c r="B67" s="536" t="s">
        <v>801</v>
      </c>
      <c r="C67" s="540">
        <f>'Revenue, EBITDA, capex breakout'!AH39</f>
        <v>50468</v>
      </c>
      <c r="D67" s="540">
        <f>'Revenue, EBITDA, capex breakout'!AI39</f>
        <v>37901</v>
      </c>
      <c r="E67" s="540">
        <f>'Revenue, EBITDA, capex breakout'!AJ39</f>
        <v>51831.359748281779</v>
      </c>
      <c r="F67" s="540">
        <f>'Revenue, EBITDA, capex breakout'!AK39</f>
        <v>110448</v>
      </c>
      <c r="G67" s="540">
        <f>'Revenue, EBITDA, capex breakout'!AL39</f>
        <v>38749.533921642702</v>
      </c>
      <c r="H67" s="540">
        <f>'Revenue, EBITDA, capex breakout'!AM39</f>
        <v>65833.433078929185</v>
      </c>
      <c r="I67" s="540">
        <f>'Revenue, EBITDA, capex breakout'!AN39</f>
        <v>68637.729823150279</v>
      </c>
      <c r="J67" s="540">
        <f>'Revenue, EBITDA, capex breakout'!AO39</f>
        <v>68465</v>
      </c>
      <c r="K67" s="540">
        <f>'Revenue, EBITDA, capex breakout'!AP39</f>
        <v>65908</v>
      </c>
      <c r="L67" s="540">
        <f>'Revenue, EBITDA, capex breakout'!AQ39</f>
        <v>69722</v>
      </c>
      <c r="M67" s="540">
        <f>'Revenue, EBITDA, capex breakout'!AR39</f>
        <v>61015</v>
      </c>
      <c r="N67" s="540">
        <f>'Revenue, EBITDA, capex breakout'!AS39</f>
        <v>59971</v>
      </c>
      <c r="O67" s="540">
        <f>'Revenue, EBITDA, capex breakout'!AT39</f>
        <v>63981.568363245373</v>
      </c>
      <c r="P67" s="540">
        <f>'Revenue, EBITDA, capex breakout'!AU39</f>
        <v>70469</v>
      </c>
      <c r="Q67" s="540">
        <f>'Revenue, EBITDA, capex breakout'!AV39</f>
        <v>93135.554585358492</v>
      </c>
      <c r="R67" s="540">
        <f>'Revenue, EBITDA, capex breakout'!AW39</f>
        <v>114360</v>
      </c>
      <c r="S67" s="540">
        <f>'Revenue, EBITDA, capex breakout'!AX39</f>
        <v>104858</v>
      </c>
      <c r="T67" s="540">
        <f>'Revenue, EBITDA, capex breakout'!AY39</f>
        <v>92060.654389181494</v>
      </c>
      <c r="U67" s="540">
        <f>'Revenue, EBITDA, capex breakout'!AZ39</f>
        <v>92739.76602023789</v>
      </c>
      <c r="V67" s="540">
        <f>'Revenue, EBITDA, capex breakout'!BA39</f>
        <v>105163.20890964971</v>
      </c>
      <c r="W67" s="540">
        <f>'Revenue, EBITDA, capex breakout'!BB39</f>
        <v>80069.550674239916</v>
      </c>
      <c r="X67" s="540">
        <f>'Revenue, EBITDA, capex breakout'!BC39</f>
        <v>76749.460322432889</v>
      </c>
      <c r="Y67" s="540"/>
      <c r="Z67" s="540"/>
      <c r="AA67" s="538">
        <f>SUMIFS($C67:Y67,$C$3:Y$3,AA$3)</f>
        <v>92060.654389181494</v>
      </c>
      <c r="AB67" s="538">
        <f>SUMIFS($C67:Y67,$C$3:Y$3,AB$3)</f>
        <v>80069.550674239916</v>
      </c>
      <c r="AC67" s="538">
        <f>SUMIFS($C67:Y67,$C$3:Y$3,AC$3)</f>
        <v>76749.460322432889</v>
      </c>
      <c r="AD67" s="582">
        <f>IFERROR(AC67/AA67-1,"")</f>
        <v>-0.16631637226932316</v>
      </c>
      <c r="AE67" s="582">
        <f>IFERROR(AC67/AB67-1,"")</f>
        <v>-4.1465080343896177E-2</v>
      </c>
      <c r="AF67" s="541" cm="1">
        <f t="array" ref="AF67">_xll.VAData("BHARTI_IN", AF$4, "Total Capex", "Consensus", "CD", "IMPL","","")</f>
        <v>92674.113140568123</v>
      </c>
      <c r="AG67" s="550">
        <f>AC67/AF67-1</f>
        <v>-0.17183496316798541</v>
      </c>
      <c r="AL67" s="540">
        <f>IF(MONTH(AL$3)=3,SUMIFS($C67:Y67,$C$3:Y$3,"&lt;="&amp;AL$3,$C$3:Y$3,"&gt;"&amp;DATE(YEAR(AL$3)-1,3,31)),SUMIFS($C67:Y67,$C$3:Y$3,"&lt;="&amp;AL$3,$C$3:Y$3,"&gt;"&amp;EOMONTH(AL$3,-MONTH(AL$3)+3)))</f>
        <v>196918.65438918149</v>
      </c>
      <c r="AM67" s="540">
        <f>IF(MONTH(AM$3)=3,SUMIFS($C67:Y67,$C$3:Y$3,"&lt;="&amp;AM$3,$C$3:Y$3,"&gt;"&amp;DATE(YEAR(AM$3)-1,3,31)),SUMIFS($C67:Y67,$C$3:Y$3,"&lt;="&amp;AM$3,$C$3:Y$3,"&gt;"&amp;EOMONTH(AM$3,-MONTH(AM$3)+3)))</f>
        <v>156819.01099667279</v>
      </c>
      <c r="AN67" s="568">
        <f>AM67/AL67-1</f>
        <v>-0.20363557488696582</v>
      </c>
    </row>
    <row r="68" spans="2:40">
      <c r="B68" s="561" t="s">
        <v>849</v>
      </c>
      <c r="C68" s="538"/>
      <c r="D68" s="538"/>
      <c r="E68" s="538"/>
      <c r="F68" s="538"/>
      <c r="G68" s="548">
        <f>IFERROR(G67/C67-1,"")</f>
        <v>-0.23219596731309544</v>
      </c>
      <c r="H68" s="548">
        <f t="shared" ref="H68" si="269">IFERROR(H67/D67-1,"")</f>
        <v>0.73698406582752929</v>
      </c>
      <c r="I68" s="548">
        <f t="shared" ref="I68" si="270">IFERROR(I67/E67-1,"")</f>
        <v>0.32425099701200932</v>
      </c>
      <c r="J68" s="548">
        <f t="shared" ref="J68" si="271">IFERROR(J67/F67-1,"")</f>
        <v>-0.38011552947993621</v>
      </c>
      <c r="K68" s="548">
        <f t="shared" ref="K68" si="272">IFERROR(K67/G67-1,"")</f>
        <v>0.70087207070092084</v>
      </c>
      <c r="L68" s="548">
        <f t="shared" ref="L68" si="273">IFERROR(L67/H67-1,"")</f>
        <v>5.9066749814015163E-2</v>
      </c>
      <c r="M68" s="548">
        <f t="shared" ref="M68" si="274">IFERROR(M67/I67-1,"")</f>
        <v>-0.11105742924177064</v>
      </c>
      <c r="N68" s="548">
        <f t="shared" ref="N68" si="275">IFERROR(N67/J67-1,"")</f>
        <v>-0.12406339005331191</v>
      </c>
      <c r="O68" s="548">
        <f t="shared" ref="O68" si="276">IFERROR(O67/K67-1,"")</f>
        <v>-2.9229101728995399E-2</v>
      </c>
      <c r="P68" s="548">
        <f t="shared" ref="P68" si="277">IFERROR(P67/L67-1,"")</f>
        <v>1.0713978371245769E-2</v>
      </c>
      <c r="Q68" s="548">
        <f t="shared" ref="Q68" si="278">IFERROR(Q67/M67-1,"")</f>
        <v>0.52643701688697031</v>
      </c>
      <c r="R68" s="548">
        <f t="shared" ref="R68" si="279">IFERROR(R67/N67-1,"")</f>
        <v>0.9069216788114256</v>
      </c>
      <c r="S68" s="548">
        <f t="shared" ref="S68" si="280">IFERROR(S67/O67-1,"")</f>
        <v>0.63887823763064167</v>
      </c>
      <c r="T68" s="548">
        <f t="shared" ref="T68:X68" si="281">IFERROR(T67/P67-1,"")</f>
        <v>0.30639933004841136</v>
      </c>
      <c r="U68" s="548">
        <f t="shared" si="281"/>
        <v>-4.2495969115410315E-3</v>
      </c>
      <c r="V68" s="548">
        <f t="shared" si="281"/>
        <v>-8.0419649268540505E-2</v>
      </c>
      <c r="W68" s="548">
        <f t="shared" si="281"/>
        <v>-0.23640017286005921</v>
      </c>
      <c r="X68" s="548">
        <f t="shared" si="281"/>
        <v>-0.16631637226932316</v>
      </c>
      <c r="Y68" s="548"/>
      <c r="Z68" s="548"/>
      <c r="AF68" s="539"/>
      <c r="AG68" s="549"/>
    </row>
    <row r="69" spans="2:40">
      <c r="B69" s="561" t="s">
        <v>853</v>
      </c>
      <c r="C69" s="548">
        <f>C67/C$22</f>
        <v>0.24336118893427011</v>
      </c>
      <c r="D69" s="548">
        <f t="shared" ref="D69:T69" si="282">D67/D$22</f>
        <v>0.17935952828268967</v>
      </c>
      <c r="E69" s="548">
        <f t="shared" si="282"/>
        <v>0.23616495914394967</v>
      </c>
      <c r="F69" s="548">
        <f t="shared" si="282"/>
        <v>0.47981858228310026</v>
      </c>
      <c r="G69" s="548">
        <f t="shared" si="282"/>
        <v>0.16637627648266748</v>
      </c>
      <c r="H69" s="548">
        <f t="shared" si="282"/>
        <v>0.2626990514075162</v>
      </c>
      <c r="I69" s="548">
        <f t="shared" si="282"/>
        <v>0.25883644127020444</v>
      </c>
      <c r="J69" s="548">
        <f t="shared" si="282"/>
        <v>0.26591137711527035</v>
      </c>
      <c r="K69" s="548">
        <f t="shared" si="282"/>
        <v>0.2454345041260762</v>
      </c>
      <c r="L69" s="548">
        <f t="shared" si="282"/>
        <v>0.24613787844554902</v>
      </c>
      <c r="M69" s="548">
        <f t="shared" si="282"/>
        <v>0.20429175065122912</v>
      </c>
      <c r="N69" s="548">
        <f t="shared" si="282"/>
        <v>0.19038231381923346</v>
      </c>
      <c r="O69" s="548">
        <f t="shared" si="282"/>
        <v>0.19503840425807775</v>
      </c>
      <c r="P69" s="548">
        <f t="shared" si="282"/>
        <v>0.20409942421539209</v>
      </c>
      <c r="Q69" s="548">
        <f t="shared" si="282"/>
        <v>0.2601232099556437</v>
      </c>
      <c r="R69" s="548">
        <f t="shared" si="282"/>
        <v>0.31758726984920438</v>
      </c>
      <c r="S69" s="548">
        <f t="shared" si="282"/>
        <v>0.28006944444444443</v>
      </c>
      <c r="T69" s="548">
        <f t="shared" si="282"/>
        <v>0.24851838739325202</v>
      </c>
      <c r="U69" s="548">
        <f t="shared" ref="U69:V69" si="283">U67/U$22</f>
        <v>0.24469918078137678</v>
      </c>
      <c r="V69" s="548">
        <f t="shared" si="283"/>
        <v>0.2796960802509893</v>
      </c>
      <c r="W69" s="548">
        <f t="shared" ref="W69:X69" si="284">W67/W$22</f>
        <v>0.2079382925286184</v>
      </c>
      <c r="X69" s="548">
        <f t="shared" si="284"/>
        <v>0.1850575197113152</v>
      </c>
      <c r="Y69" s="548"/>
      <c r="Z69" s="548"/>
      <c r="AA69" s="548">
        <f t="shared" ref="AA69:AC69" si="285">AA67/AA$22</f>
        <v>0.24851838739325202</v>
      </c>
      <c r="AB69" s="548">
        <f t="shared" si="285"/>
        <v>0.2079382925286184</v>
      </c>
      <c r="AC69" s="548">
        <f t="shared" si="285"/>
        <v>0.1850575197113152</v>
      </c>
      <c r="AF69" s="548">
        <f t="shared" ref="AF69" si="286">AF67/AF$22</f>
        <v>0.22437671030561546</v>
      </c>
      <c r="AG69" s="549"/>
      <c r="AL69" s="548">
        <f t="shared" ref="AL69:AM69" si="287">AL67/AL$22</f>
        <v>0.26437783033247697</v>
      </c>
      <c r="AM69" s="548">
        <f t="shared" si="287"/>
        <v>0.19607351740088147</v>
      </c>
    </row>
    <row r="70" spans="2:40">
      <c r="AF70" s="542"/>
    </row>
    <row r="71" spans="2:40">
      <c r="B71" s="536" t="s">
        <v>40</v>
      </c>
      <c r="C71" s="538">
        <f>C44-C67</f>
        <v>34458</v>
      </c>
      <c r="D71" s="538">
        <f t="shared" ref="D71:T71" si="288">D44-D67</f>
        <v>51462</v>
      </c>
      <c r="E71" s="538">
        <f t="shared" si="288"/>
        <v>41669.611906492129</v>
      </c>
      <c r="F71" s="538">
        <f t="shared" si="288"/>
        <v>-12836</v>
      </c>
      <c r="G71" s="538">
        <f t="shared" si="288"/>
        <v>62436.026551990282</v>
      </c>
      <c r="H71" s="538">
        <f t="shared" si="288"/>
        <v>46759.823587880936</v>
      </c>
      <c r="I71" s="538">
        <f t="shared" si="288"/>
        <v>53139.45303640663</v>
      </c>
      <c r="J71" s="538">
        <f t="shared" si="288"/>
        <v>57366</v>
      </c>
      <c r="K71" s="538">
        <f t="shared" si="288"/>
        <v>65986</v>
      </c>
      <c r="L71" s="538">
        <f t="shared" si="288"/>
        <v>70455</v>
      </c>
      <c r="M71" s="538">
        <f t="shared" si="288"/>
        <v>88032</v>
      </c>
      <c r="N71" s="538">
        <f t="shared" si="288"/>
        <v>100013</v>
      </c>
      <c r="O71" s="538">
        <f t="shared" si="288"/>
        <v>102062.49081186551</v>
      </c>
      <c r="P71" s="538">
        <f t="shared" si="288"/>
        <v>106743</v>
      </c>
      <c r="Q71" s="538">
        <f t="shared" si="288"/>
        <v>92871.93332810163</v>
      </c>
      <c r="R71" s="538">
        <f t="shared" si="288"/>
        <v>73707</v>
      </c>
      <c r="S71" s="538">
        <f t="shared" si="288"/>
        <v>92603</v>
      </c>
      <c r="T71" s="538">
        <f t="shared" si="288"/>
        <v>104588.91137091644</v>
      </c>
      <c r="U71" s="538">
        <f t="shared" ref="U71:V71" si="289">U44-U67</f>
        <v>107702.87297764614</v>
      </c>
      <c r="V71" s="538">
        <f t="shared" si="289"/>
        <v>90741.754821654773</v>
      </c>
      <c r="W71" s="538">
        <f t="shared" ref="W71:X71" si="290">W44-W67</f>
        <v>119372.44932576008</v>
      </c>
      <c r="X71" s="538">
        <f t="shared" si="290"/>
        <v>143459.53967756711</v>
      </c>
      <c r="Y71" s="538"/>
      <c r="Z71" s="538"/>
      <c r="AA71" s="538">
        <f t="shared" ref="AA71:AC71" si="291">AA44-AA67</f>
        <v>104588.91137091644</v>
      </c>
      <c r="AB71" s="538">
        <f t="shared" si="291"/>
        <v>119372.44932576008</v>
      </c>
      <c r="AC71" s="538">
        <f t="shared" si="291"/>
        <v>143459.53967756711</v>
      </c>
      <c r="AF71" s="538">
        <f t="shared" ref="AF71" si="292">AF44-AF67</f>
        <v>125579.31448328162</v>
      </c>
    </row>
    <row r="72" spans="2:40">
      <c r="B72" s="561" t="s">
        <v>849</v>
      </c>
      <c r="C72" s="538"/>
      <c r="D72" s="538"/>
      <c r="E72" s="538"/>
      <c r="F72" s="538"/>
      <c r="G72" s="548">
        <f>IFERROR(G71/C71-1,"")</f>
        <v>0.81194574705410294</v>
      </c>
      <c r="H72" s="548">
        <f t="shared" ref="H72" si="293">IFERROR(H71/D71-1,"")</f>
        <v>-9.1371816332809885E-2</v>
      </c>
      <c r="I72" s="548">
        <f t="shared" ref="I72" si="294">IFERROR(I71/E71-1,"")</f>
        <v>0.27525673038791854</v>
      </c>
      <c r="J72" s="548">
        <f t="shared" ref="J72" si="295">IFERROR(J71/F71-1,"")</f>
        <v>-5.4691492676846369</v>
      </c>
      <c r="K72" s="548">
        <f t="shared" ref="K72" si="296">IFERROR(K71/G71-1,"")</f>
        <v>5.6857773373096832E-2</v>
      </c>
      <c r="L72" s="548">
        <f t="shared" ref="L72" si="297">IFERROR(L71/H71-1,"")</f>
        <v>0.50674221145394371</v>
      </c>
      <c r="M72" s="548">
        <f t="shared" ref="M72" si="298">IFERROR(M71/I71-1,"")</f>
        <v>0.6566222452400472</v>
      </c>
      <c r="N72" s="548">
        <f t="shared" ref="N72" si="299">IFERROR(N71/J71-1,"")</f>
        <v>0.74341944705923368</v>
      </c>
      <c r="O72" s="548">
        <f t="shared" ref="O72" si="300">IFERROR(O71/K71-1,"")</f>
        <v>0.5467294700673706</v>
      </c>
      <c r="P72" s="548">
        <f t="shared" ref="P72" si="301">IFERROR(P71/L71-1,"")</f>
        <v>0.51505216095380035</v>
      </c>
      <c r="Q72" s="548">
        <f t="shared" ref="Q72" si="302">IFERROR(Q71/M71-1,"")</f>
        <v>5.4979249910278361E-2</v>
      </c>
      <c r="R72" s="548">
        <f t="shared" ref="R72" si="303">IFERROR(R71/N71-1,"")</f>
        <v>-0.26302580664513608</v>
      </c>
      <c r="S72" s="548">
        <f t="shared" ref="S72" si="304">IFERROR(S71/O71-1,"")</f>
        <v>-9.2683323095675174E-2</v>
      </c>
      <c r="T72" s="548">
        <f t="shared" ref="T72:X72" si="305">IFERROR(T71/P71-1,"")</f>
        <v>-2.0180139485339255E-2</v>
      </c>
      <c r="U72" s="548">
        <f t="shared" si="305"/>
        <v>0.15969237549033455</v>
      </c>
      <c r="V72" s="548">
        <f t="shared" si="305"/>
        <v>0.23111447788751094</v>
      </c>
      <c r="W72" s="548">
        <f t="shared" si="305"/>
        <v>0.28907756040041988</v>
      </c>
      <c r="X72" s="548">
        <f t="shared" si="305"/>
        <v>0.3716515240205438</v>
      </c>
      <c r="Y72" s="548"/>
      <c r="Z72" s="548"/>
      <c r="AF72" s="542"/>
    </row>
    <row r="73" spans="2:40">
      <c r="B73" s="561" t="s">
        <v>861</v>
      </c>
      <c r="C73" s="548">
        <f>C71/C22</f>
        <v>0.16615954363749463</v>
      </c>
      <c r="D73" s="548">
        <f t="shared" ref="D73:T73" si="306">D71/D22</f>
        <v>0.24353447255966268</v>
      </c>
      <c r="E73" s="548">
        <f t="shared" si="306"/>
        <v>0.18986386313677947</v>
      </c>
      <c r="F73" s="548">
        <f t="shared" si="306"/>
        <v>-5.5763357617936722E-2</v>
      </c>
      <c r="G73" s="548">
        <f t="shared" si="306"/>
        <v>0.26807738222345906</v>
      </c>
      <c r="H73" s="548">
        <f t="shared" si="306"/>
        <v>0.18658849654387374</v>
      </c>
      <c r="I73" s="548">
        <f t="shared" si="306"/>
        <v>0.20039163518997288</v>
      </c>
      <c r="J73" s="548">
        <f t="shared" si="306"/>
        <v>0.22280394449126706</v>
      </c>
      <c r="K73" s="548">
        <f t="shared" si="306"/>
        <v>0.24572496797449878</v>
      </c>
      <c r="L73" s="548">
        <f t="shared" si="306"/>
        <v>0.24872557049254407</v>
      </c>
      <c r="M73" s="548">
        <f t="shared" si="306"/>
        <v>0.29475065792557575</v>
      </c>
      <c r="N73" s="548">
        <f t="shared" si="306"/>
        <v>0.3174985635057444</v>
      </c>
      <c r="O73" s="548">
        <f t="shared" si="306"/>
        <v>0.31112249749079557</v>
      </c>
      <c r="P73" s="548">
        <f t="shared" si="306"/>
        <v>0.30915984105100963</v>
      </c>
      <c r="Q73" s="548">
        <f t="shared" si="306"/>
        <v>0.25938692822139636</v>
      </c>
      <c r="R73" s="548">
        <f t="shared" si="306"/>
        <v>0.20469049404315587</v>
      </c>
      <c r="S73" s="548">
        <f t="shared" si="306"/>
        <v>0.24733707264957264</v>
      </c>
      <c r="T73" s="548">
        <f t="shared" si="306"/>
        <v>0.28233850569033531</v>
      </c>
      <c r="U73" s="548">
        <f t="shared" ref="U73:V73" si="307">U71/U22</f>
        <v>0.28418019493039787</v>
      </c>
      <c r="V73" s="548">
        <f t="shared" si="307"/>
        <v>0.24134023107376179</v>
      </c>
      <c r="W73" s="548">
        <f t="shared" ref="W73:X73" si="308">W71/W22</f>
        <v>0.31000677634304968</v>
      </c>
      <c r="X73" s="548">
        <f t="shared" si="308"/>
        <v>0.34590818593545031</v>
      </c>
      <c r="Y73" s="548"/>
      <c r="Z73" s="548"/>
      <c r="AF73" s="542"/>
    </row>
    <row r="74" spans="2:40">
      <c r="AF74" s="542"/>
    </row>
    <row r="75" spans="2:40">
      <c r="B75" s="557" t="s">
        <v>860</v>
      </c>
      <c r="V75" s="549"/>
      <c r="W75" s="549"/>
      <c r="X75" s="549"/>
      <c r="Y75" s="549"/>
      <c r="Z75" s="549"/>
      <c r="AF75" s="542"/>
    </row>
    <row r="76" spans="2:40">
      <c r="B76" s="537" t="s">
        <v>741</v>
      </c>
      <c r="C76" s="548">
        <f>C31/C7</f>
        <v>0.35651903191395851</v>
      </c>
      <c r="D76" s="548">
        <f t="shared" ref="D76:T76" si="309">D31/D7</f>
        <v>0.36346003241845304</v>
      </c>
      <c r="E76" s="548">
        <f t="shared" si="309"/>
        <v>0.35922959433181106</v>
      </c>
      <c r="F76" s="548">
        <f t="shared" si="309"/>
        <v>0.3921567138993603</v>
      </c>
      <c r="G76" s="548">
        <f t="shared" si="309"/>
        <v>0.40558304703325743</v>
      </c>
      <c r="H76" s="548">
        <f t="shared" si="309"/>
        <v>0.42596442075208102</v>
      </c>
      <c r="I76" s="548">
        <f t="shared" si="309"/>
        <v>0.43710084845059677</v>
      </c>
      <c r="J76" s="548">
        <f t="shared" si="309"/>
        <v>0.47513212340403538</v>
      </c>
      <c r="K76" s="548">
        <f t="shared" si="309"/>
        <v>0.4916634831943939</v>
      </c>
      <c r="L76" s="548">
        <f t="shared" si="309"/>
        <v>0.49158734547178007</v>
      </c>
      <c r="M76" s="548">
        <f t="shared" si="309"/>
        <v>0.49298146393583758</v>
      </c>
      <c r="N76" s="548">
        <f t="shared" si="309"/>
        <v>0.50552447969679604</v>
      </c>
      <c r="O76" s="548">
        <f t="shared" si="309"/>
        <v>0.51083053936119094</v>
      </c>
      <c r="P76" s="548">
        <f t="shared" si="309"/>
        <v>0.52290437655374999</v>
      </c>
      <c r="Q76" s="548">
        <f t="shared" si="309"/>
        <v>0.53802091856849843</v>
      </c>
      <c r="R76" s="548">
        <f t="shared" si="309"/>
        <v>0.53826582507080478</v>
      </c>
      <c r="S76" s="548">
        <f t="shared" si="309"/>
        <v>0.54757994353317463</v>
      </c>
      <c r="T76" s="548">
        <f t="shared" si="309"/>
        <v>0.54905939722618291</v>
      </c>
      <c r="U76" s="548">
        <f t="shared" ref="U76:V76" si="310">U31/U7</f>
        <v>0.55105226695063769</v>
      </c>
      <c r="V76" s="548">
        <f t="shared" si="310"/>
        <v>0.55111428280772523</v>
      </c>
      <c r="W76" s="548">
        <f t="shared" ref="W76:X76" si="311">W31/W7</f>
        <v>0.55609514441054997</v>
      </c>
      <c r="X76" s="548">
        <f t="shared" si="311"/>
        <v>0.57055775432719602</v>
      </c>
      <c r="Y76" s="548">
        <f>W76-S76</f>
        <v>8.5152008773753396E-3</v>
      </c>
      <c r="Z76" s="548"/>
      <c r="AF76" s="542"/>
    </row>
    <row r="77" spans="2:40">
      <c r="B77" s="537" t="s">
        <v>742</v>
      </c>
      <c r="C77" s="548">
        <f>C33/C9</f>
        <v>0.44243871047229394</v>
      </c>
      <c r="D77" s="548">
        <f t="shared" ref="D77:T77" si="312">D33/D9</f>
        <v>0.45132420091324199</v>
      </c>
      <c r="E77" s="548">
        <f t="shared" si="312"/>
        <v>0.59540510754594644</v>
      </c>
      <c r="F77" s="548">
        <f t="shared" si="312"/>
        <v>0.5260686232109405</v>
      </c>
      <c r="G77" s="548">
        <f t="shared" si="312"/>
        <v>0.60732978857640796</v>
      </c>
      <c r="H77" s="548">
        <f t="shared" si="312"/>
        <v>0.58304481554283172</v>
      </c>
      <c r="I77" s="548">
        <f t="shared" si="312"/>
        <v>0.55535362572467295</v>
      </c>
      <c r="J77" s="548">
        <f t="shared" si="312"/>
        <v>0.55658431563902822</v>
      </c>
      <c r="K77" s="548">
        <f t="shared" si="312"/>
        <v>0.4943683730849609</v>
      </c>
      <c r="L77" s="548">
        <f t="shared" si="312"/>
        <v>0.5302371264206539</v>
      </c>
      <c r="M77" s="548">
        <f t="shared" si="312"/>
        <v>0.54682683633153961</v>
      </c>
      <c r="N77" s="548">
        <f t="shared" si="312"/>
        <v>0.5448000010117261</v>
      </c>
      <c r="O77" s="548">
        <f t="shared" si="312"/>
        <v>0.53181917682628876</v>
      </c>
      <c r="P77" s="548">
        <f t="shared" si="312"/>
        <v>0.50343207081071129</v>
      </c>
      <c r="Q77" s="548">
        <f t="shared" si="312"/>
        <v>0.50012802162582259</v>
      </c>
      <c r="R77" s="548">
        <f t="shared" si="312"/>
        <v>0.50394023567047408</v>
      </c>
      <c r="S77" s="548">
        <f t="shared" si="312"/>
        <v>0.50430004698293673</v>
      </c>
      <c r="T77" s="548">
        <f t="shared" si="312"/>
        <v>0.49751883729832919</v>
      </c>
      <c r="U77" s="548">
        <f t="shared" ref="U77:V77" si="313">U33/U9</f>
        <v>0.50192675222990613</v>
      </c>
      <c r="V77" s="548">
        <f t="shared" si="313"/>
        <v>0.49908899237229193</v>
      </c>
      <c r="W77" s="548">
        <f t="shared" ref="W77:X77" si="314">W33/W9</f>
        <v>0.50234089246525238</v>
      </c>
      <c r="X77" s="548">
        <f t="shared" si="314"/>
        <v>0.50296766985545704</v>
      </c>
      <c r="Y77" s="548"/>
      <c r="Z77" s="548"/>
      <c r="AF77" s="542"/>
    </row>
    <row r="78" spans="2:40">
      <c r="B78" s="537" t="s">
        <v>743</v>
      </c>
      <c r="C78" s="548">
        <f>C35/C11</f>
        <v>0.71224905582475162</v>
      </c>
      <c r="D78" s="548">
        <f t="shared" ref="D78:T78" si="315">D35/D11</f>
        <v>0.7103762827822121</v>
      </c>
      <c r="E78" s="548">
        <f t="shared" si="315"/>
        <v>0.68681048059886907</v>
      </c>
      <c r="F78" s="548">
        <f t="shared" si="315"/>
        <v>0.60452227576637629</v>
      </c>
      <c r="G78" s="548">
        <f t="shared" si="315"/>
        <v>0.67682182369248756</v>
      </c>
      <c r="H78" s="548">
        <f t="shared" si="315"/>
        <v>0.7088803141811727</v>
      </c>
      <c r="I78" s="548">
        <f t="shared" si="315"/>
        <v>0.67048258141260086</v>
      </c>
      <c r="J78" s="548">
        <f t="shared" si="315"/>
        <v>0.6653121050898847</v>
      </c>
      <c r="K78" s="548">
        <f t="shared" si="315"/>
        <v>0.6696845590582895</v>
      </c>
      <c r="L78" s="548">
        <f t="shared" si="315"/>
        <v>0.66599824539415964</v>
      </c>
      <c r="M78" s="548">
        <f t="shared" si="315"/>
        <v>0.67221438234224173</v>
      </c>
      <c r="N78" s="548">
        <f t="shared" si="315"/>
        <v>0.65574244747695609</v>
      </c>
      <c r="O78" s="548">
        <f t="shared" si="315"/>
        <v>0.6387871991888564</v>
      </c>
      <c r="P78" s="548">
        <f t="shared" si="315"/>
        <v>0.59707892731545098</v>
      </c>
      <c r="Q78" s="548">
        <f t="shared" si="315"/>
        <v>0.55913544290052752</v>
      </c>
      <c r="R78" s="548">
        <f t="shared" si="315"/>
        <v>0.55982393391332452</v>
      </c>
      <c r="S78" s="548">
        <f t="shared" si="315"/>
        <v>0.57593807120191076</v>
      </c>
      <c r="T78" s="548">
        <f t="shared" si="315"/>
        <v>0.56053152893331637</v>
      </c>
      <c r="U78" s="548">
        <f t="shared" ref="U78:V78" si="316">U35/U11</f>
        <v>0.54675981884046609</v>
      </c>
      <c r="V78" s="548">
        <f t="shared" si="316"/>
        <v>0.57076682714585014</v>
      </c>
      <c r="W78" s="548">
        <f t="shared" ref="W78:X78" si="317">W35/W11</f>
        <v>0.56646506241153005</v>
      </c>
      <c r="X78" s="548">
        <f t="shared" si="317"/>
        <v>0.55931979963089906</v>
      </c>
      <c r="Y78" s="548"/>
      <c r="Z78" s="548"/>
      <c r="AF78" s="542"/>
    </row>
    <row r="79" spans="2:40">
      <c r="B79" s="537" t="s">
        <v>744</v>
      </c>
      <c r="C79" s="548">
        <f>C37/C13</f>
        <v>0.2386231566948365</v>
      </c>
      <c r="D79" s="548">
        <f t="shared" ref="D79:T79" si="318">D37/D13</f>
        <v>0.28115994236311237</v>
      </c>
      <c r="E79" s="548">
        <f t="shared" si="318"/>
        <v>0.36547772266363882</v>
      </c>
      <c r="F79" s="548">
        <f t="shared" si="318"/>
        <v>0.39886010794125637</v>
      </c>
      <c r="G79" s="548">
        <f t="shared" si="318"/>
        <v>0.36296658415873262</v>
      </c>
      <c r="H79" s="548">
        <f t="shared" si="318"/>
        <v>0.37345467281485345</v>
      </c>
      <c r="I79" s="548">
        <f t="shared" si="318"/>
        <v>0.38708115407938326</v>
      </c>
      <c r="J79" s="548">
        <f t="shared" si="318"/>
        <v>0.40158446166874001</v>
      </c>
      <c r="K79" s="548">
        <f t="shared" si="318"/>
        <v>0.38753295702698026</v>
      </c>
      <c r="L79" s="548">
        <f t="shared" si="318"/>
        <v>0.39851825895427129</v>
      </c>
      <c r="M79" s="548">
        <f t="shared" si="318"/>
        <v>0.38539366562825011</v>
      </c>
      <c r="N79" s="548">
        <f t="shared" si="318"/>
        <v>0.39358020705978347</v>
      </c>
      <c r="O79" s="548">
        <f t="shared" si="318"/>
        <v>0.38966280901213168</v>
      </c>
      <c r="P79" s="548">
        <f t="shared" si="318"/>
        <v>0.39217931313352211</v>
      </c>
      <c r="Q79" s="548">
        <f t="shared" si="318"/>
        <v>0.39870183141638926</v>
      </c>
      <c r="R79" s="548">
        <f t="shared" si="318"/>
        <v>0.41129085391226028</v>
      </c>
      <c r="S79" s="548">
        <f t="shared" si="318"/>
        <v>0.39527664271923357</v>
      </c>
      <c r="T79" s="548">
        <f t="shared" si="318"/>
        <v>0.40269351648669321</v>
      </c>
      <c r="U79" s="548">
        <f t="shared" ref="U79:V79" si="319">U37/U13</f>
        <v>0.39703376109904198</v>
      </c>
      <c r="V79" s="548">
        <f t="shared" si="319"/>
        <v>0.38139221355180697</v>
      </c>
      <c r="W79" s="548">
        <f t="shared" ref="W79:X79" si="320">W37/W13</f>
        <v>0.36254907331324754</v>
      </c>
      <c r="X79" s="548">
        <f t="shared" si="320"/>
        <v>0.35731588718946161</v>
      </c>
      <c r="Y79" s="548"/>
      <c r="Z79" s="548"/>
      <c r="AF79" s="542"/>
    </row>
    <row r="80" spans="2:40">
      <c r="B80" s="537" t="s">
        <v>745</v>
      </c>
      <c r="C80" s="548">
        <f t="shared" ref="C80:H80" si="321">C39/C15</f>
        <v>0.58250784346307349</v>
      </c>
      <c r="D80" s="548">
        <f t="shared" si="321"/>
        <v>0.55583543240973976</v>
      </c>
      <c r="E80" s="548">
        <f t="shared" si="321"/>
        <v>0.52707472567524294</v>
      </c>
      <c r="F80" s="548">
        <f t="shared" si="321"/>
        <v>0.53678131602803714</v>
      </c>
      <c r="G80" s="548">
        <f t="shared" si="321"/>
        <v>0.53237659726792552</v>
      </c>
      <c r="H80" s="548">
        <f t="shared" si="321"/>
        <v>0.52612562196077728</v>
      </c>
      <c r="I80" s="548"/>
      <c r="J80" s="548"/>
      <c r="K80" s="548"/>
      <c r="L80" s="548"/>
      <c r="M80" s="548"/>
      <c r="N80" s="548"/>
      <c r="O80" s="548"/>
      <c r="P80" s="548"/>
      <c r="Q80" s="548"/>
      <c r="R80" s="548"/>
      <c r="S80" s="548"/>
      <c r="T80" s="548"/>
      <c r="U80" s="548"/>
      <c r="V80" s="548"/>
      <c r="W80" s="548"/>
      <c r="X80" s="548"/>
      <c r="Y80" s="548"/>
      <c r="Z80" s="548"/>
      <c r="AF80" s="542"/>
    </row>
    <row r="81" spans="1:33">
      <c r="B81" s="537" t="s">
        <v>746</v>
      </c>
      <c r="C81" s="548">
        <f>C40/C16</f>
        <v>8.4481175390266297E-2</v>
      </c>
      <c r="D81" s="548">
        <f t="shared" ref="D81:T81" si="322">D40/D16</f>
        <v>7.5949367088607597E-2</v>
      </c>
      <c r="E81" s="548">
        <f t="shared" si="322"/>
        <v>9.1841297323518145E-2</v>
      </c>
      <c r="F81" s="548">
        <f t="shared" si="322"/>
        <v>0.12215324298410513</v>
      </c>
      <c r="G81" s="548">
        <f t="shared" si="322"/>
        <v>9.0333354373381136E-2</v>
      </c>
      <c r="H81" s="548">
        <f t="shared" si="322"/>
        <v>0.10394692653990016</v>
      </c>
      <c r="I81" s="548">
        <f t="shared" si="322"/>
        <v>3.6603402042967276E-2</v>
      </c>
      <c r="J81" s="548">
        <f t="shared" si="322"/>
        <v>-0.12384423401016981</v>
      </c>
      <c r="K81" s="548">
        <f t="shared" si="322"/>
        <v>-0.11632919302875487</v>
      </c>
      <c r="L81" s="548">
        <f t="shared" si="322"/>
        <v>-0.14754822236726661</v>
      </c>
      <c r="M81" s="548">
        <f t="shared" si="322"/>
        <v>-0.21403750025116505</v>
      </c>
      <c r="N81" s="548">
        <f t="shared" si="322"/>
        <v>-0.16260162601626016</v>
      </c>
      <c r="O81" s="548">
        <f t="shared" si="322"/>
        <v>-0.16206934975096621</v>
      </c>
      <c r="P81" s="548">
        <f t="shared" si="322"/>
        <v>-0.2025606994129949</v>
      </c>
      <c r="Q81" s="548">
        <f t="shared" si="322"/>
        <v>-0.16881452185883317</v>
      </c>
      <c r="R81" s="548">
        <f t="shared" si="322"/>
        <v>-0.17178886090978307</v>
      </c>
      <c r="S81" s="548">
        <f t="shared" si="322"/>
        <v>-0.12039182364555859</v>
      </c>
      <c r="T81" s="548">
        <f t="shared" si="322"/>
        <v>-0.12847626143462007</v>
      </c>
      <c r="U81" s="548">
        <f t="shared" ref="U81:V81" si="323">U40/U16</f>
        <v>-0.15979645721440111</v>
      </c>
      <c r="V81" s="548">
        <f t="shared" si="323"/>
        <v>-0.27616911107031783</v>
      </c>
      <c r="W81" s="548">
        <f t="shared" ref="W81:X81" si="324">W40/W16</f>
        <v>-0.17661440340154133</v>
      </c>
      <c r="X81" s="548" t="e">
        <f t="shared" si="324"/>
        <v>#DIV/0!</v>
      </c>
      <c r="Y81" s="548"/>
      <c r="Z81" s="548"/>
      <c r="AF81" s="542"/>
    </row>
    <row r="82" spans="1:33">
      <c r="B82" s="537" t="s">
        <v>747</v>
      </c>
      <c r="C82" s="548">
        <f>C42/C18</f>
        <v>0.43667044192231097</v>
      </c>
      <c r="D82" s="548">
        <f t="shared" ref="D82:T82" si="325">D42/D18</f>
        <v>0.44089456869009586</v>
      </c>
      <c r="E82" s="548">
        <f t="shared" si="325"/>
        <v>0.45190255671087265</v>
      </c>
      <c r="F82" s="548">
        <f t="shared" si="325"/>
        <v>0.44137838147561453</v>
      </c>
      <c r="G82" s="548">
        <f t="shared" si="325"/>
        <v>0.44061400481335145</v>
      </c>
      <c r="H82" s="548">
        <f t="shared" si="325"/>
        <v>0.45286693040595249</v>
      </c>
      <c r="I82" s="548">
        <f t="shared" si="325"/>
        <v>0.46901345715543175</v>
      </c>
      <c r="J82" s="548">
        <f t="shared" si="325"/>
        <v>0.47686442432470733</v>
      </c>
      <c r="K82" s="548">
        <f t="shared" si="325"/>
        <v>0.48026563465246708</v>
      </c>
      <c r="L82" s="548">
        <f t="shared" si="325"/>
        <v>0.48586310321679771</v>
      </c>
      <c r="M82" s="548">
        <f t="shared" si="325"/>
        <v>0.49629990827913428</v>
      </c>
      <c r="N82" s="548">
        <f t="shared" si="325"/>
        <v>0.49923119253280041</v>
      </c>
      <c r="O82" s="548">
        <f t="shared" si="325"/>
        <v>0.48836280179943709</v>
      </c>
      <c r="P82" s="548">
        <f t="shared" si="325"/>
        <v>0.49067369493242841</v>
      </c>
      <c r="Q82" s="548">
        <f t="shared" si="325"/>
        <v>0.49124484180344558</v>
      </c>
      <c r="R82" s="548">
        <f t="shared" si="325"/>
        <v>0.49114035696558406</v>
      </c>
      <c r="S82" s="548">
        <f t="shared" si="325"/>
        <v>0.49510981370982499</v>
      </c>
      <c r="T82" s="548">
        <f t="shared" si="325"/>
        <v>0.49779966603096665</v>
      </c>
      <c r="U82" s="548">
        <f t="shared" ref="U82:V82" si="326">U42/U18</f>
        <v>0.49130020946084391</v>
      </c>
      <c r="V82" s="548">
        <f t="shared" si="326"/>
        <v>0.46525064271293493</v>
      </c>
      <c r="W82" s="548">
        <f t="shared" ref="W82:X82" si="327">W42/W18</f>
        <v>0.45259752911436002</v>
      </c>
      <c r="X82" s="548">
        <f t="shared" si="327"/>
        <v>0.46500012482004588</v>
      </c>
      <c r="Y82" s="548"/>
      <c r="Z82" s="548"/>
      <c r="AF82" s="542"/>
    </row>
    <row r="83" spans="1:33">
      <c r="AF83" s="542"/>
    </row>
    <row r="84" spans="1:33" s="546" customFormat="1">
      <c r="A84" s="537" t="s">
        <v>852</v>
      </c>
      <c r="B84" s="551" t="s">
        <v>796</v>
      </c>
      <c r="AF84" s="547"/>
    </row>
    <row r="85" spans="1:33">
      <c r="B85" s="552"/>
      <c r="AF85" s="542"/>
    </row>
    <row r="86" spans="1:33">
      <c r="B86" s="556" t="s">
        <v>21</v>
      </c>
      <c r="AF86" s="542"/>
    </row>
    <row r="87" spans="1:33" s="536" customFormat="1">
      <c r="B87" s="536" t="s">
        <v>797</v>
      </c>
      <c r="C87" s="540">
        <f>'Domestic Mobile Operations'!AH4</f>
        <v>276817</v>
      </c>
      <c r="D87" s="540">
        <f>'Domestic Mobile Operations'!AI4</f>
        <v>279430</v>
      </c>
      <c r="E87" s="540">
        <f>'Domestic Mobile Operations'!AJ4</f>
        <v>283036.25299999997</v>
      </c>
      <c r="F87" s="540">
        <f>'Domestic Mobile Operations'!AK4</f>
        <v>283667.18400000001</v>
      </c>
      <c r="G87" s="540">
        <f>'Domestic Mobile Operations'!AL4</f>
        <v>279869</v>
      </c>
      <c r="H87" s="540">
        <f>'Domestic Mobile Operations'!AM4</f>
        <v>293742.21999999997</v>
      </c>
      <c r="I87" s="540">
        <f>'Domestic Mobile Operations'!AN4</f>
        <v>307948</v>
      </c>
      <c r="J87" s="540">
        <f>'Domestic Mobile Operations'!AO4</f>
        <v>321373.51</v>
      </c>
      <c r="K87" s="540">
        <f>'Domestic Mobile Operations'!AP4</f>
        <v>321238.12300000002</v>
      </c>
      <c r="L87" s="540">
        <f>'Domestic Mobile Operations'!AQ4</f>
        <v>323476</v>
      </c>
      <c r="M87" s="540">
        <f>'Domestic Mobile Operations'!AR4</f>
        <v>322917.59299999999</v>
      </c>
      <c r="N87" s="540">
        <f>'Domestic Mobile Operations'!AS4</f>
        <v>326043</v>
      </c>
      <c r="O87" s="540">
        <f>'Domestic Mobile Operations'!AT4</f>
        <v>327307.74</v>
      </c>
      <c r="P87" s="540">
        <f>'Domestic Mobile Operations'!AU4</f>
        <v>327797.96000000002</v>
      </c>
      <c r="Q87" s="540">
        <f>'Domestic Mobile Operations'!AV4</f>
        <v>332243.62</v>
      </c>
      <c r="R87" s="540">
        <f>'Domestic Mobile Operations'!AW4</f>
        <v>335412.28200000006</v>
      </c>
      <c r="S87" s="540">
        <f>'Domestic Mobile Operations'!AX4</f>
        <v>338562.38500000001</v>
      </c>
      <c r="T87" s="540">
        <f>'Domestic Mobile Operations'!AY4</f>
        <v>342305.36200000002</v>
      </c>
      <c r="U87" s="540">
        <f>'Domestic Mobile Operations'!AZ4</f>
        <v>345570.20600000006</v>
      </c>
      <c r="V87" s="540">
        <f>'Domestic Mobile Operations'!BA4</f>
        <v>352252.81199999998</v>
      </c>
      <c r="W87" s="540">
        <f>'Domestic Mobile Operations'!BB4</f>
        <v>354515.14</v>
      </c>
      <c r="X87" s="540">
        <f>'Domestic Mobile Operations'!BC4</f>
        <v>351640.24400000006</v>
      </c>
      <c r="Y87" s="540"/>
      <c r="Z87" s="540"/>
      <c r="AA87" s="538">
        <f>SUMIFS($C87:Y87,$C$3:Y$3,AA$3)</f>
        <v>342305.36200000002</v>
      </c>
      <c r="AB87" s="538">
        <f>SUMIFS($C87:Y87,$C$3:Y$3,AB$3)</f>
        <v>354515.14</v>
      </c>
      <c r="AC87" s="538">
        <f>SUMIFS($C87:Y87,$C$3:Y$3,AC$3)</f>
        <v>351640.24400000006</v>
      </c>
      <c r="AF87" s="541" cm="1">
        <f t="array" ref="AF87">_xll.VAData("BHARTI_IN", AF$4, "Subscribers - Mobile services - India", "Consensus", "CD", "IMPL","","")</f>
        <v>356638.01777727273</v>
      </c>
      <c r="AG87" s="549">
        <f>AC87/AF87-1</f>
        <v>-1.4013575469101758E-2</v>
      </c>
    </row>
    <row r="88" spans="1:33">
      <c r="B88" s="537" t="s">
        <v>848</v>
      </c>
      <c r="C88" s="538"/>
      <c r="D88" s="538">
        <f>D87-C87</f>
        <v>2613</v>
      </c>
      <c r="E88" s="538">
        <f t="shared" ref="E88:X88" si="328">E87-D87</f>
        <v>3606.2529999999679</v>
      </c>
      <c r="F88" s="538">
        <f t="shared" si="328"/>
        <v>630.93100000004051</v>
      </c>
      <c r="G88" s="538">
        <f t="shared" si="328"/>
        <v>-3798.1840000000084</v>
      </c>
      <c r="H88" s="538">
        <f t="shared" si="328"/>
        <v>13873.219999999972</v>
      </c>
      <c r="I88" s="538">
        <f t="shared" si="328"/>
        <v>14205.780000000028</v>
      </c>
      <c r="J88" s="538">
        <f t="shared" si="328"/>
        <v>13425.510000000009</v>
      </c>
      <c r="K88" s="538">
        <f t="shared" si="328"/>
        <v>-135.38699999998789</v>
      </c>
      <c r="L88" s="538">
        <f t="shared" si="328"/>
        <v>2237.8769999999786</v>
      </c>
      <c r="M88" s="538">
        <f t="shared" si="328"/>
        <v>-558.40700000000652</v>
      </c>
      <c r="N88" s="538">
        <f t="shared" si="328"/>
        <v>3125.4070000000065</v>
      </c>
      <c r="O88" s="538">
        <f t="shared" si="328"/>
        <v>1264.7399999999907</v>
      </c>
      <c r="P88" s="538">
        <f t="shared" si="328"/>
        <v>490.22000000003027</v>
      </c>
      <c r="Q88" s="538">
        <f t="shared" si="328"/>
        <v>4445.6599999999744</v>
      </c>
      <c r="R88" s="538">
        <f t="shared" si="328"/>
        <v>3168.6620000000694</v>
      </c>
      <c r="S88" s="538">
        <f t="shared" si="328"/>
        <v>3150.1029999999446</v>
      </c>
      <c r="T88" s="538">
        <f t="shared" si="328"/>
        <v>3742.9770000000135</v>
      </c>
      <c r="U88" s="538">
        <f t="shared" si="328"/>
        <v>3264.844000000041</v>
      </c>
      <c r="V88" s="538">
        <f t="shared" si="328"/>
        <v>6682.6059999999125</v>
      </c>
      <c r="W88" s="538">
        <f t="shared" si="328"/>
        <v>2262.3280000000377</v>
      </c>
      <c r="X88" s="538">
        <f t="shared" si="328"/>
        <v>-2874.8959999999497</v>
      </c>
      <c r="Y88" s="538"/>
      <c r="Z88" s="538"/>
      <c r="AF88" s="586">
        <f>AF87-AA87</f>
        <v>14332.65577727271</v>
      </c>
    </row>
    <row r="89" spans="1:33">
      <c r="C89" s="538"/>
      <c r="D89" s="538"/>
      <c r="E89" s="538"/>
      <c r="F89" s="538"/>
      <c r="G89" s="538"/>
      <c r="H89" s="538"/>
      <c r="I89" s="538"/>
      <c r="J89" s="538"/>
      <c r="K89" s="538"/>
      <c r="L89" s="538"/>
      <c r="M89" s="538"/>
      <c r="N89" s="538"/>
      <c r="O89" s="538"/>
      <c r="P89" s="538"/>
      <c r="Q89" s="538"/>
      <c r="R89" s="538"/>
      <c r="S89" s="538"/>
      <c r="T89" s="538"/>
      <c r="U89" s="538"/>
      <c r="V89" s="538"/>
      <c r="W89" s="538"/>
      <c r="X89" s="538"/>
      <c r="Y89" s="538"/>
      <c r="Z89" s="538"/>
      <c r="AF89" s="539"/>
    </row>
    <row r="90" spans="1:33" s="536" customFormat="1">
      <c r="B90" s="536" t="s">
        <v>798</v>
      </c>
      <c r="C90" s="540">
        <f>'Domestic Mobile Operations'!AH10</f>
        <v>129</v>
      </c>
      <c r="D90" s="540">
        <f>'Domestic Mobile Operations'!AI10</f>
        <v>128</v>
      </c>
      <c r="E90" s="540">
        <f>'Domestic Mobile Operations'!AJ10</f>
        <v>134.85133141482592</v>
      </c>
      <c r="F90" s="540">
        <f>'Domestic Mobile Operations'!AK10</f>
        <v>154.07077258806797</v>
      </c>
      <c r="G90" s="540">
        <f>'Domestic Mobile Operations'!AL10</f>
        <v>156.80841376485662</v>
      </c>
      <c r="H90" s="540">
        <f>'Domestic Mobile Operations'!AM10</f>
        <v>162.19167879158945</v>
      </c>
      <c r="I90" s="540">
        <f>'Domestic Mobile Operations'!AN10</f>
        <v>166.08182157874103</v>
      </c>
      <c r="J90" s="540">
        <f>'Domestic Mobile Operations'!AO10</f>
        <v>145.21147435476252</v>
      </c>
      <c r="K90" s="540">
        <f>'Domestic Mobile Operations'!AP10</f>
        <v>146.13644963737531</v>
      </c>
      <c r="L90" s="540">
        <f>'Domestic Mobile Operations'!AQ10</f>
        <v>153.4346448313531</v>
      </c>
      <c r="M90" s="540">
        <f>'Domestic Mobile Operations'!AR10</f>
        <v>162.51066372091415</v>
      </c>
      <c r="N90" s="540">
        <f>'Domestic Mobile Operations'!AS10</f>
        <v>178.25447578771332</v>
      </c>
      <c r="O90" s="540">
        <f>'Domestic Mobile Operations'!AT10</f>
        <v>183.21636296137629</v>
      </c>
      <c r="P90" s="540">
        <f>'Domestic Mobile Operations'!AU10</f>
        <v>189.77470933891865</v>
      </c>
      <c r="Q90" s="540">
        <f>'Domestic Mobile Operations'!AV10</f>
        <v>193.44511757473515</v>
      </c>
      <c r="R90" s="540">
        <f>'Domestic Mobile Operations'!AW10</f>
        <v>193.30020898498091</v>
      </c>
      <c r="S90" s="540">
        <f>'Domestic Mobile Operations'!AX10</f>
        <v>199.76734964826008</v>
      </c>
      <c r="T90" s="540">
        <f>'Domestic Mobile Operations'!AY10</f>
        <v>202.80929014342357</v>
      </c>
      <c r="U90" s="540">
        <f>'Domestic Mobile Operations'!AZ10</f>
        <v>207.89210467375753</v>
      </c>
      <c r="V90" s="540">
        <f>'Domestic Mobile Operations'!BA10</f>
        <v>208.8588040254451</v>
      </c>
      <c r="W90" s="540">
        <f>'Domestic Mobile Operations'!BB10</f>
        <v>210.58479678699587</v>
      </c>
      <c r="X90" s="540">
        <f>'Domestic Mobile Operations'!BC10</f>
        <v>232.97308958000451</v>
      </c>
      <c r="Y90" s="540"/>
      <c r="Z90" s="540"/>
      <c r="AA90" s="538">
        <f>SUMIFS($C90:Y90,$C$3:Y$3,AA$3)</f>
        <v>202.80929014342357</v>
      </c>
      <c r="AB90" s="538">
        <f>SUMIFS($C90:Y90,$C$3:Y$3,AB$3)</f>
        <v>210.58479678699587</v>
      </c>
      <c r="AC90" s="538">
        <f>SUMIFS($C90:Y90,$C$3:Y$3,AC$3)</f>
        <v>232.97308958000451</v>
      </c>
      <c r="AF90" s="541" cm="1">
        <f t="array" ref="AF90">_xll.VAData("BHARTI_IN", AF$4, "ARPU - Service revenue - India", "Consensus", "CD", "IMPL","","")</f>
        <v>233.65581463827081</v>
      </c>
      <c r="AG90" s="549">
        <f>AC90/AF90-1</f>
        <v>-2.9219262500410625E-3</v>
      </c>
    </row>
    <row r="91" spans="1:33">
      <c r="B91" s="561" t="s">
        <v>849</v>
      </c>
      <c r="G91" s="548">
        <f>IFERROR(G90/C90-1,"")</f>
        <v>0.21556909895237686</v>
      </c>
      <c r="H91" s="548">
        <f t="shared" ref="H91:X91" si="329">IFERROR(H90/D90-1,"")</f>
        <v>0.2671224905592926</v>
      </c>
      <c r="I91" s="548">
        <f t="shared" si="329"/>
        <v>0.23159200458944484</v>
      </c>
      <c r="J91" s="548">
        <f t="shared" si="329"/>
        <v>-5.750148509342623E-2</v>
      </c>
      <c r="K91" s="548">
        <f t="shared" si="329"/>
        <v>-6.8057343807358173E-2</v>
      </c>
      <c r="L91" s="548">
        <f t="shared" si="329"/>
        <v>-5.3991881861515378E-2</v>
      </c>
      <c r="M91" s="548">
        <f t="shared" si="329"/>
        <v>-2.1502400587133264E-2</v>
      </c>
      <c r="N91" s="548">
        <f t="shared" si="329"/>
        <v>0.22755089830039377</v>
      </c>
      <c r="O91" s="548">
        <f t="shared" si="329"/>
        <v>0.25373487186811716</v>
      </c>
      <c r="P91" s="548">
        <f t="shared" si="329"/>
        <v>0.23684393148306593</v>
      </c>
      <c r="Q91" s="548">
        <f t="shared" si="329"/>
        <v>0.19035337832935029</v>
      </c>
      <c r="R91" s="548">
        <f t="shared" si="329"/>
        <v>8.4405920977747906E-2</v>
      </c>
      <c r="S91" s="548">
        <f t="shared" si="329"/>
        <v>9.0335745232388964E-2</v>
      </c>
      <c r="T91" s="548">
        <f t="shared" si="329"/>
        <v>6.8684498845557274E-2</v>
      </c>
      <c r="U91" s="548">
        <f t="shared" si="329"/>
        <v>7.4682614273999359E-2</v>
      </c>
      <c r="V91" s="548">
        <f t="shared" si="329"/>
        <v>8.0489282045592914E-2</v>
      </c>
      <c r="W91" s="548">
        <f t="shared" si="329"/>
        <v>5.4150226039353155E-2</v>
      </c>
      <c r="X91" s="548">
        <f t="shared" si="329"/>
        <v>0.14872987038833174</v>
      </c>
      <c r="Y91" s="548"/>
      <c r="Z91" s="548"/>
      <c r="AF91" s="581">
        <f>AF90/AA90-1</f>
        <v>0.15209621054850619</v>
      </c>
    </row>
    <row r="92" spans="1:33">
      <c r="B92" s="561" t="s">
        <v>850</v>
      </c>
      <c r="D92" s="548">
        <f>IFERROR(D90/C90-1,"")</f>
        <v>-7.7519379844961378E-3</v>
      </c>
      <c r="E92" s="548">
        <f>IFERROR(E90/D90-1,"")</f>
        <v>5.352602667832751E-2</v>
      </c>
      <c r="F92" s="548">
        <f>IFERROR(F90/E90-1,"")</f>
        <v>0.14252318439570866</v>
      </c>
      <c r="G92" s="548">
        <f>IFERROR(G90/F90-1,"")</f>
        <v>1.7768724922981649E-2</v>
      </c>
      <c r="H92" s="548">
        <f t="shared" ref="H92:X92" si="330">IFERROR(H90/G90-1,"")</f>
        <v>3.4330205232516064E-2</v>
      </c>
      <c r="I92" s="548">
        <f t="shared" si="330"/>
        <v>2.3984848150873761E-2</v>
      </c>
      <c r="J92" s="548">
        <f t="shared" si="330"/>
        <v>-0.12566304382736837</v>
      </c>
      <c r="K92" s="548">
        <f t="shared" si="330"/>
        <v>6.3698498119577618E-3</v>
      </c>
      <c r="L92" s="548">
        <f t="shared" si="330"/>
        <v>4.9940964161149459E-2</v>
      </c>
      <c r="M92" s="548">
        <f t="shared" si="330"/>
        <v>5.9152343980310995E-2</v>
      </c>
      <c r="N92" s="548">
        <f t="shared" si="330"/>
        <v>9.6878639877052253E-2</v>
      </c>
      <c r="O92" s="548">
        <f t="shared" si="330"/>
        <v>2.7835975235607435E-2</v>
      </c>
      <c r="P92" s="548">
        <f t="shared" si="330"/>
        <v>3.5795636762666838E-2</v>
      </c>
      <c r="Q92" s="548">
        <f t="shared" si="330"/>
        <v>1.934087133423823E-2</v>
      </c>
      <c r="R92" s="548">
        <f t="shared" si="330"/>
        <v>-7.4909406642564846E-4</v>
      </c>
      <c r="S92" s="548">
        <f t="shared" si="330"/>
        <v>3.3456459758828494E-2</v>
      </c>
      <c r="T92" s="548">
        <f t="shared" si="330"/>
        <v>1.5227415794020205E-2</v>
      </c>
      <c r="U92" s="548">
        <f t="shared" si="330"/>
        <v>2.5062039942743697E-2</v>
      </c>
      <c r="V92" s="548">
        <f t="shared" si="330"/>
        <v>4.6500051226312511E-3</v>
      </c>
      <c r="W92" s="548">
        <f t="shared" si="330"/>
        <v>8.2639215023969648E-3</v>
      </c>
      <c r="X92" s="548">
        <f t="shared" si="330"/>
        <v>0.10631485812175767</v>
      </c>
      <c r="Y92" s="548"/>
      <c r="Z92" s="548"/>
    </row>
    <row r="94" spans="1:33">
      <c r="B94" s="556" t="s">
        <v>897</v>
      </c>
    </row>
    <row r="95" spans="1:33">
      <c r="B95" s="536" t="s">
        <v>898</v>
      </c>
      <c r="C95" s="540">
        <f>'Other India Operations'!AH4</f>
        <v>2342</v>
      </c>
      <c r="D95" s="540">
        <f>'Other India Operations'!AI4</f>
        <v>2350</v>
      </c>
      <c r="E95" s="540">
        <f>'Other India Operations'!AJ4</f>
        <v>2351.5050000000001</v>
      </c>
      <c r="F95" s="540">
        <f>'Other India Operations'!AK4</f>
        <v>2414</v>
      </c>
      <c r="G95" s="540">
        <f>'Other India Operations'!AL4</f>
        <v>2449</v>
      </c>
      <c r="H95" s="540">
        <f>'Other India Operations'!AM4</f>
        <v>2577.92034427311</v>
      </c>
      <c r="I95" s="540">
        <f>'Other India Operations'!AN4</f>
        <v>2793</v>
      </c>
      <c r="J95" s="540">
        <f>'Other India Operations'!AO4</f>
        <v>3066.5153442731098</v>
      </c>
      <c r="K95" s="540">
        <f>'Other India Operations'!AP4</f>
        <v>3351.71034427311</v>
      </c>
      <c r="L95" s="540">
        <f>'Other India Operations'!AQ4</f>
        <v>3819</v>
      </c>
      <c r="M95" s="540">
        <f>'Other India Operations'!AR4</f>
        <v>4160</v>
      </c>
      <c r="N95" s="540">
        <f>'Other India Operations'!AS4</f>
        <v>4483</v>
      </c>
      <c r="O95" s="540">
        <f>'Other India Operations'!AT4</f>
        <v>4792.8793430000005</v>
      </c>
      <c r="P95" s="540">
        <f>'Other India Operations'!AU4</f>
        <v>5210.1793430000007</v>
      </c>
      <c r="Q95" s="540">
        <f>'Other India Operations'!AV4</f>
        <v>5642.0883430000004</v>
      </c>
      <c r="R95" s="540">
        <f>'Other India Operations'!AW4</f>
        <v>6046.2063430000007</v>
      </c>
      <c r="S95" s="540">
        <f>'Other India Operations'!AX4</f>
        <v>6459.5983430000006</v>
      </c>
      <c r="T95" s="540">
        <f>'Other India Operations'!AY4</f>
        <v>6931.0943430000007</v>
      </c>
      <c r="U95" s="540">
        <f>'Other India Operations'!AZ4</f>
        <v>7289.8523429999996</v>
      </c>
      <c r="V95" s="540">
        <f>'Other India Operations'!BA4</f>
        <v>7620.952342999999</v>
      </c>
      <c r="W95" s="540">
        <f>'Other India Operations'!BB4</f>
        <v>7969.242342999999</v>
      </c>
      <c r="X95" s="540">
        <f>'Other India Operations'!BC4</f>
        <v>8552.6343429999979</v>
      </c>
    </row>
    <row r="96" spans="1:33">
      <c r="B96" s="537" t="s">
        <v>848</v>
      </c>
      <c r="D96" s="538">
        <f>D95-C95</f>
        <v>8</v>
      </c>
      <c r="E96" s="538">
        <f>E95-D95</f>
        <v>1.5050000000001091</v>
      </c>
      <c r="F96" s="538">
        <f t="shared" ref="F96:X96" si="331">F95-E95</f>
        <v>62.494999999999891</v>
      </c>
      <c r="G96" s="538">
        <f t="shared" si="331"/>
        <v>35</v>
      </c>
      <c r="H96" s="538">
        <f t="shared" si="331"/>
        <v>128.92034427311</v>
      </c>
      <c r="I96" s="538">
        <f t="shared" si="331"/>
        <v>215.07965572689</v>
      </c>
      <c r="J96" s="538">
        <f t="shared" si="331"/>
        <v>273.5153442731098</v>
      </c>
      <c r="K96" s="538">
        <f t="shared" si="331"/>
        <v>285.19500000000016</v>
      </c>
      <c r="L96" s="538">
        <f t="shared" si="331"/>
        <v>467.28965572689003</v>
      </c>
      <c r="M96" s="538">
        <f t="shared" si="331"/>
        <v>341</v>
      </c>
      <c r="N96" s="538">
        <f t="shared" si="331"/>
        <v>323</v>
      </c>
      <c r="O96" s="538">
        <f t="shared" si="331"/>
        <v>309.87934300000052</v>
      </c>
      <c r="P96" s="538">
        <f t="shared" si="331"/>
        <v>417.30000000000018</v>
      </c>
      <c r="Q96" s="538">
        <f t="shared" si="331"/>
        <v>431.90899999999965</v>
      </c>
      <c r="R96" s="538">
        <f t="shared" si="331"/>
        <v>404.11800000000039</v>
      </c>
      <c r="S96" s="538">
        <f t="shared" si="331"/>
        <v>413.39199999999983</v>
      </c>
      <c r="T96" s="538">
        <f t="shared" si="331"/>
        <v>471.49600000000009</v>
      </c>
      <c r="U96" s="538">
        <f t="shared" si="331"/>
        <v>358.7579999999989</v>
      </c>
      <c r="V96" s="538">
        <f t="shared" si="331"/>
        <v>331.09999999999945</v>
      </c>
      <c r="W96" s="538">
        <f t="shared" si="331"/>
        <v>348.28999999999996</v>
      </c>
      <c r="X96" s="538">
        <f t="shared" si="331"/>
        <v>583.39199999999892</v>
      </c>
    </row>
    <row r="97" spans="1:39">
      <c r="X97" s="538"/>
    </row>
    <row r="98" spans="1:39">
      <c r="B98" s="536" t="s">
        <v>899</v>
      </c>
      <c r="C98" s="540">
        <f>'Other India Operations'!AH8</f>
        <v>825</v>
      </c>
      <c r="D98" s="540">
        <f>'Other India Operations'!AI8</f>
        <v>777</v>
      </c>
      <c r="E98" s="540">
        <f>'Other India Operations'!AJ8</f>
        <v>787.48151985409186</v>
      </c>
      <c r="F98" s="540">
        <f>'Other India Operations'!AK8</f>
        <v>803.25811398310668</v>
      </c>
      <c r="G98" s="540">
        <f>'Other India Operations'!AL8</f>
        <v>802</v>
      </c>
      <c r="H98" s="540">
        <f>'Other India Operations'!AM8</f>
        <v>783.01966751210875</v>
      </c>
      <c r="I98" s="540">
        <f>'Other India Operations'!AN8</f>
        <v>705</v>
      </c>
      <c r="J98" s="540">
        <f>'Other India Operations'!AO8</f>
        <v>684.06609120693895</v>
      </c>
      <c r="K98" s="540">
        <f>'Other India Operations'!AP8</f>
        <v>681</v>
      </c>
      <c r="L98" s="540">
        <f>'Other India Operations'!AQ8</f>
        <v>661</v>
      </c>
      <c r="M98" s="540">
        <f>'Other India Operations'!AR8</f>
        <v>657</v>
      </c>
      <c r="N98" s="540">
        <f>'Other India Operations'!AS8</f>
        <v>650</v>
      </c>
      <c r="O98" s="540">
        <f>'Other India Operations'!AT8</f>
        <v>652.05580827579797</v>
      </c>
      <c r="P98" s="540">
        <f>'Other India Operations'!AU8</f>
        <v>645.91094591064473</v>
      </c>
      <c r="Q98" s="540">
        <f>'Other India Operations'!AV8</f>
        <v>623.64345311287423</v>
      </c>
      <c r="R98" s="540">
        <f>'Other India Operations'!AW8</f>
        <v>614.25975529432208</v>
      </c>
      <c r="S98" s="540">
        <f>'Other India Operations'!AX8</f>
        <v>608.27382741081976</v>
      </c>
      <c r="T98" s="540">
        <f>'Other India Operations'!AY8</f>
        <v>595.01571451488178</v>
      </c>
      <c r="U98" s="540">
        <f>'Other India Operations'!AZ8</f>
        <v>583.19809799638153</v>
      </c>
      <c r="V98" s="540">
        <f>'Other India Operations'!BA8</f>
        <v>577.4718350863634</v>
      </c>
      <c r="W98" s="540">
        <f>'Other India Operations'!BB8</f>
        <v>572.05131695720411</v>
      </c>
      <c r="X98" s="540">
        <f>'Other India Operations'!BC8</f>
        <v>566.18921877202888</v>
      </c>
    </row>
    <row r="99" spans="1:39">
      <c r="B99" s="561" t="s">
        <v>849</v>
      </c>
      <c r="G99" s="548">
        <f>IFERROR(G98/C98-1,"")</f>
        <v>-2.7878787878787836E-2</v>
      </c>
      <c r="H99" s="548">
        <f t="shared" ref="H99" si="332">IFERROR(H98/D98-1,"")</f>
        <v>7.7473198354038875E-3</v>
      </c>
      <c r="I99" s="548">
        <f t="shared" ref="I99" si="333">IFERROR(I98/E98-1,"")</f>
        <v>-0.10474089584905355</v>
      </c>
      <c r="J99" s="548">
        <f t="shared" ref="J99" si="334">IFERROR(J98/F98-1,"")</f>
        <v>-0.1483857065385018</v>
      </c>
      <c r="K99" s="548">
        <f t="shared" ref="K99" si="335">IFERROR(K98/G98-1,"")</f>
        <v>-0.1508728179551122</v>
      </c>
      <c r="L99" s="548">
        <f t="shared" ref="L99" si="336">IFERROR(L98/H98-1,"")</f>
        <v>-0.15583218733164428</v>
      </c>
      <c r="M99" s="548">
        <f t="shared" ref="M99" si="337">IFERROR(M98/I98-1,"")</f>
        <v>-6.8085106382978711E-2</v>
      </c>
      <c r="N99" s="548">
        <f t="shared" ref="N99" si="338">IFERROR(N98/J98-1,"")</f>
        <v>-4.9799415063585539E-2</v>
      </c>
      <c r="O99" s="548">
        <f t="shared" ref="O99" si="339">IFERROR(O98/K98-1,"")</f>
        <v>-4.2502484176508148E-2</v>
      </c>
      <c r="P99" s="548">
        <f t="shared" ref="P99" si="340">IFERROR(P98/L98-1,"")</f>
        <v>-2.2827615868918683E-2</v>
      </c>
      <c r="Q99" s="548">
        <f t="shared" ref="Q99" si="341">IFERROR(Q98/M98-1,"")</f>
        <v>-5.0770999828197549E-2</v>
      </c>
      <c r="R99" s="548">
        <f t="shared" ref="R99" si="342">IFERROR(R98/N98-1,"")</f>
        <v>-5.4984991854889143E-2</v>
      </c>
      <c r="S99" s="548">
        <f t="shared" ref="S99" si="343">IFERROR(S98/O98-1,"")</f>
        <v>-6.7144530129635616E-2</v>
      </c>
      <c r="T99" s="548">
        <f t="shared" ref="T99" si="344">IFERROR(T98/P98-1,"")</f>
        <v>-7.8796050319301703E-2</v>
      </c>
      <c r="U99" s="548">
        <f t="shared" ref="U99" si="345">IFERROR(U98/Q98-1,"")</f>
        <v>-6.4853330720642477E-2</v>
      </c>
      <c r="V99" s="548">
        <f t="shared" ref="V99" si="346">IFERROR(V98/R98-1,"")</f>
        <v>-5.9889842840724183E-2</v>
      </c>
      <c r="W99" s="548">
        <f t="shared" ref="W99" si="347">IFERROR(W98/S98-1,"")</f>
        <v>-5.9549677828159231E-2</v>
      </c>
      <c r="X99" s="548">
        <f t="shared" ref="X99" si="348">IFERROR(X98/T98-1,"")</f>
        <v>-4.8446612483764806E-2</v>
      </c>
    </row>
    <row r="100" spans="1:39">
      <c r="B100" s="561" t="s">
        <v>850</v>
      </c>
      <c r="D100" s="548">
        <f>IFERROR(D98/C98-1,"")</f>
        <v>-5.8181818181818223E-2</v>
      </c>
      <c r="E100" s="548">
        <f>IFERROR(E98/D98-1,"")</f>
        <v>1.3489729541945827E-2</v>
      </c>
      <c r="F100" s="548">
        <f>IFERROR(F98/E98-1,"")</f>
        <v>2.0034240463113306E-2</v>
      </c>
      <c r="G100" s="548">
        <f>IFERROR(G98/F98-1,"")</f>
        <v>-1.5662636470213931E-3</v>
      </c>
      <c r="H100" s="548">
        <f t="shared" ref="H100" si="349">IFERROR(H98/G98-1,"")</f>
        <v>-2.3666249984901855E-2</v>
      </c>
      <c r="I100" s="548">
        <f t="shared" ref="I100" si="350">IFERROR(I98/H98-1,"")</f>
        <v>-9.9639473629060893E-2</v>
      </c>
      <c r="J100" s="548">
        <f t="shared" ref="J100" si="351">IFERROR(J98/I98-1,"")</f>
        <v>-2.9693487649732009E-2</v>
      </c>
      <c r="K100" s="548">
        <f t="shared" ref="K100" si="352">IFERROR(K98/J98-1,"")</f>
        <v>-4.4821563973873602E-3</v>
      </c>
      <c r="L100" s="548">
        <f t="shared" ref="L100" si="353">IFERROR(L98/K98-1,"")</f>
        <v>-2.9368575624082238E-2</v>
      </c>
      <c r="M100" s="548">
        <f t="shared" ref="M100" si="354">IFERROR(M98/L98-1,"")</f>
        <v>-6.0514372163388286E-3</v>
      </c>
      <c r="N100" s="548">
        <f t="shared" ref="N100" si="355">IFERROR(N98/M98-1,"")</f>
        <v>-1.0654490106544956E-2</v>
      </c>
      <c r="O100" s="548">
        <f t="shared" ref="O100" si="356">IFERROR(O98/N98-1,"")</f>
        <v>3.1627819627662035E-3</v>
      </c>
      <c r="P100" s="548">
        <f t="shared" ref="P100" si="357">IFERROR(P98/O98-1,"")</f>
        <v>-9.4238288918886415E-3</v>
      </c>
      <c r="Q100" s="548">
        <f t="shared" ref="Q100" si="358">IFERROR(Q98/P98-1,"")</f>
        <v>-3.4474555569539711E-2</v>
      </c>
      <c r="R100" s="548">
        <f t="shared" ref="R100" si="359">IFERROR(R98/Q98-1,"")</f>
        <v>-1.5046574724249973E-2</v>
      </c>
      <c r="S100" s="548">
        <f t="shared" ref="S100" si="360">IFERROR(S98/R98-1,"")</f>
        <v>-9.7449455737730339E-3</v>
      </c>
      <c r="T100" s="548">
        <f t="shared" ref="T100" si="361">IFERROR(T98/S98-1,"")</f>
        <v>-2.1796290253638717E-2</v>
      </c>
      <c r="U100" s="548">
        <f t="shared" ref="U100" si="362">IFERROR(U98/T98-1,"")</f>
        <v>-1.9861015818943839E-2</v>
      </c>
      <c r="V100" s="548">
        <f t="shared" ref="V100" si="363">IFERROR(V98/U98-1,"")</f>
        <v>-9.8187269980665182E-3</v>
      </c>
      <c r="W100" s="548">
        <f t="shared" ref="W100" si="364">IFERROR(W98/V98-1,"")</f>
        <v>-9.3866363687652443E-3</v>
      </c>
      <c r="X100" s="548">
        <f t="shared" ref="X100" si="365">IFERROR(X98/W98-1,"")</f>
        <v>-1.0247504046238864E-2</v>
      </c>
    </row>
    <row r="102" spans="1:39" s="546" customFormat="1">
      <c r="A102" s="537" t="s">
        <v>852</v>
      </c>
      <c r="B102" s="551" t="s">
        <v>868</v>
      </c>
      <c r="AF102" s="547"/>
    </row>
    <row r="104" spans="1:39">
      <c r="B104" s="557" t="s">
        <v>869</v>
      </c>
    </row>
    <row r="105" spans="1:39">
      <c r="B105" s="561" t="s">
        <v>28</v>
      </c>
      <c r="C105" s="548">
        <f>IFERROR(C7/C$22,"")</f>
        <v>0.52400358333293151</v>
      </c>
      <c r="D105" s="548">
        <f t="shared" ref="D105:R105" si="366">IFERROR(D7/D$22,"")</f>
        <v>0.51967460591634207</v>
      </c>
      <c r="E105" s="548">
        <f t="shared" si="366"/>
        <v>0.50873642704958733</v>
      </c>
      <c r="F105" s="548">
        <f t="shared" si="366"/>
        <v>0.56271101962752024</v>
      </c>
      <c r="G105" s="548">
        <f t="shared" si="366"/>
        <v>0.55289555757547137</v>
      </c>
      <c r="H105" s="548">
        <f t="shared" si="366"/>
        <v>0.55194354468005291</v>
      </c>
      <c r="I105" s="548">
        <f t="shared" si="366"/>
        <v>0.55732058383048366</v>
      </c>
      <c r="J105" s="548">
        <f t="shared" si="366"/>
        <v>0.54683997360888359</v>
      </c>
      <c r="K105" s="548">
        <f t="shared" si="366"/>
        <v>0.53272414568251547</v>
      </c>
      <c r="L105" s="548">
        <f t="shared" si="366"/>
        <v>0.53629829417080888</v>
      </c>
      <c r="M105" s="548">
        <f t="shared" si="366"/>
        <v>0.53629578565055946</v>
      </c>
      <c r="N105" s="548">
        <f t="shared" si="366"/>
        <v>0.55638221018360168</v>
      </c>
      <c r="O105" s="548">
        <f t="shared" si="366"/>
        <v>0.55298418897203439</v>
      </c>
      <c r="P105" s="548">
        <f t="shared" si="366"/>
        <v>0.54688704618409478</v>
      </c>
      <c r="Q105" s="548">
        <f t="shared" si="366"/>
        <v>0.54051044426908423</v>
      </c>
      <c r="R105" s="548">
        <f t="shared" si="366"/>
        <v>0.54289922967788651</v>
      </c>
      <c r="S105" s="548">
        <f>IFERROR(S7/S$22,"")</f>
        <v>0.54466998325053417</v>
      </c>
      <c r="T105" s="548">
        <f>IFERROR(T7/T$22,"")</f>
        <v>0.56560325242550702</v>
      </c>
      <c r="U105" s="548">
        <f>IFERROR(U7/U$22,"")</f>
        <v>0.57094566202192631</v>
      </c>
      <c r="V105" s="548">
        <f>IFERROR(V7/V$22,"")</f>
        <v>0.58686719504988172</v>
      </c>
      <c r="W105" s="548">
        <f>IFERROR(W7/W$22,"")</f>
        <v>0.58503105977188208</v>
      </c>
      <c r="X105" s="548">
        <f>IFERROR(X7/X$22,"")</f>
        <v>0.5988696341983879</v>
      </c>
      <c r="Y105" s="548"/>
      <c r="Z105" s="548"/>
      <c r="AL105" s="548">
        <f>IFERROR(AL7/AL$22,"")</f>
        <v>0.55508094290436305</v>
      </c>
      <c r="AM105" s="548">
        <f>IFERROR(AM7/AM$22,"")</f>
        <v>0.59220702253196755</v>
      </c>
    </row>
    <row r="106" spans="1:39">
      <c r="B106" s="561" t="s">
        <v>29</v>
      </c>
      <c r="C106" s="548">
        <f>IFERROR(C9/C$22,"")</f>
        <v>2.7508617391346281E-2</v>
      </c>
      <c r="D106" s="548">
        <f t="shared" ref="D106:R106" si="367">IFERROR(D9/D$22,"")</f>
        <v>2.5909432926511856E-2</v>
      </c>
      <c r="E106" s="548">
        <f t="shared" si="367"/>
        <v>2.5271566402850502E-2</v>
      </c>
      <c r="F106" s="548">
        <f t="shared" si="367"/>
        <v>2.4871561126388549E-2</v>
      </c>
      <c r="G106" s="548">
        <f t="shared" si="367"/>
        <v>2.4841426628252967E-2</v>
      </c>
      <c r="H106" s="548">
        <f t="shared" si="367"/>
        <v>2.3437065370065919E-2</v>
      </c>
      <c r="I106" s="548">
        <f t="shared" si="367"/>
        <v>2.1396114843614474E-2</v>
      </c>
      <c r="J106" s="548">
        <f t="shared" si="367"/>
        <v>2.3338715080804595E-2</v>
      </c>
      <c r="K106" s="548">
        <f t="shared" si="367"/>
        <v>2.4326766653260643E-2</v>
      </c>
      <c r="L106" s="548">
        <f t="shared" si="367"/>
        <v>2.5160274514234072E-2</v>
      </c>
      <c r="M106" s="548">
        <f t="shared" si="367"/>
        <v>2.6681106393094619E-2</v>
      </c>
      <c r="N106" s="548">
        <f t="shared" si="367"/>
        <v>2.7815791751189672E-2</v>
      </c>
      <c r="O106" s="548">
        <f t="shared" si="367"/>
        <v>2.8241736661931555E-2</v>
      </c>
      <c r="P106" s="548">
        <f t="shared" si="367"/>
        <v>2.8668782919355408E-2</v>
      </c>
      <c r="Q106" s="548">
        <f t="shared" si="367"/>
        <v>2.8887927715588031E-2</v>
      </c>
      <c r="R106" s="548">
        <f t="shared" si="367"/>
        <v>3.0453388161293005E-2</v>
      </c>
      <c r="S106" s="548">
        <f>IFERROR(S9/S$22,"")</f>
        <v>3.1038779265491454E-2</v>
      </c>
      <c r="T106" s="548">
        <f>IFERROR(T9/T$22,"")</f>
        <v>3.2954064264465309E-2</v>
      </c>
      <c r="U106" s="548">
        <f>IFERROR(U9/U$22,"")</f>
        <v>3.3557477198907636E-2</v>
      </c>
      <c r="V106" s="548">
        <f>IFERROR(V9/V$22,"")</f>
        <v>3.498755757185678E-2</v>
      </c>
      <c r="W106" s="548">
        <f>IFERROR(W9/W$22,"")</f>
        <v>3.5500592109363641E-2</v>
      </c>
      <c r="X106" s="548">
        <f>IFERROR(X9/X$22,"")</f>
        <v>3.4530649839776432E-2</v>
      </c>
      <c r="Y106" s="548"/>
      <c r="Z106" s="548"/>
      <c r="AL106" s="548">
        <f>IFERROR(AL9/AL$22,"")</f>
        <v>3.1991327798796515E-2</v>
      </c>
      <c r="AM106" s="548">
        <f>IFERROR(AM9/AM$22,"")</f>
        <v>3.4997630648777124E-2</v>
      </c>
    </row>
    <row r="107" spans="1:39">
      <c r="B107" s="561" t="s">
        <v>30</v>
      </c>
      <c r="C107" s="548">
        <f>IFERROR(C11/C$22,"")</f>
        <v>3.5632395305214129E-2</v>
      </c>
      <c r="D107" s="548">
        <f t="shared" ref="D107:R107" si="368">IFERROR(D11/D$22,"")</f>
        <v>3.7352174262823397E-2</v>
      </c>
      <c r="E107" s="548">
        <f t="shared" si="368"/>
        <v>3.6094325127237765E-2</v>
      </c>
      <c r="F107" s="548">
        <f t="shared" si="368"/>
        <v>2.6216918844244035E-2</v>
      </c>
      <c r="G107" s="548">
        <f t="shared" si="368"/>
        <v>3.1980125919374158E-2</v>
      </c>
      <c r="H107" s="548">
        <f t="shared" si="368"/>
        <v>3.0120893565146602E-2</v>
      </c>
      <c r="I107" s="548">
        <f t="shared" si="368"/>
        <v>2.9761264271545913E-2</v>
      </c>
      <c r="J107" s="548">
        <f t="shared" si="368"/>
        <v>2.9801954395218141E-2</v>
      </c>
      <c r="K107" s="548">
        <f t="shared" si="368"/>
        <v>3.0143127636518007E-2</v>
      </c>
      <c r="L107" s="548">
        <f t="shared" si="368"/>
        <v>2.8168069362855853E-2</v>
      </c>
      <c r="M107" s="548">
        <f t="shared" si="368"/>
        <v>2.6492621831745163E-2</v>
      </c>
      <c r="N107" s="548">
        <f t="shared" si="368"/>
        <v>2.3973671406304065E-2</v>
      </c>
      <c r="O107" s="548">
        <f t="shared" si="368"/>
        <v>2.2807092413868784E-2</v>
      </c>
      <c r="P107" s="548">
        <f t="shared" si="368"/>
        <v>2.1108378054149241E-2</v>
      </c>
      <c r="Q107" s="548">
        <f t="shared" si="368"/>
        <v>2.0640538618158667E-2</v>
      </c>
      <c r="R107" s="548">
        <f t="shared" si="368"/>
        <v>2.0246192213057845E-2</v>
      </c>
      <c r="S107" s="548">
        <f>IFERROR(S11/S$22,"")</f>
        <v>1.9773601658653849E-2</v>
      </c>
      <c r="T107" s="548">
        <f>IFERROR(T11/T$22,"")</f>
        <v>2.0285597989407135E-2</v>
      </c>
      <c r="U107" s="548">
        <f>IFERROR(U11/U$22,"")</f>
        <v>2.0678805514584626E-2</v>
      </c>
      <c r="V107" s="548">
        <f>IFERROR(V11/V$22,"")</f>
        <v>2.046170003271354E-2</v>
      </c>
      <c r="W107" s="548">
        <f>IFERROR(W11/W$22,"")</f>
        <v>2.0181060810670434E-2</v>
      </c>
      <c r="X107" s="548">
        <f>IFERROR(X11/X$22,"")</f>
        <v>1.8291286201001608E-2</v>
      </c>
      <c r="Y107" s="548"/>
      <c r="Z107" s="548"/>
      <c r="AL107" s="548">
        <f>IFERROR(AL11/AL$22,"")</f>
        <v>2.0028238098754359E-2</v>
      </c>
      <c r="AM107" s="548">
        <f>IFERROR(AM11/AM$22,"")</f>
        <v>1.9201122284779763E-2</v>
      </c>
    </row>
    <row r="108" spans="1:39">
      <c r="B108" s="561" t="s">
        <v>31</v>
      </c>
      <c r="C108" s="548">
        <f>IFERROR(C13/C$22,"")</f>
        <v>0.15469462947842355</v>
      </c>
      <c r="D108" s="548">
        <f t="shared" ref="D108:R108" si="369">IFERROR(D13/D$22,"")</f>
        <v>0.15764292778958228</v>
      </c>
      <c r="E108" s="548">
        <f t="shared" si="369"/>
        <v>0.15116504770597028</v>
      </c>
      <c r="F108" s="548">
        <f t="shared" si="369"/>
        <v>0.14667405430786706</v>
      </c>
      <c r="G108" s="548">
        <f t="shared" si="369"/>
        <v>0.15036042751880824</v>
      </c>
      <c r="H108" s="548">
        <f t="shared" si="369"/>
        <v>0.14293698926113307</v>
      </c>
      <c r="I108" s="548">
        <f t="shared" si="369"/>
        <v>0.1365660834401157</v>
      </c>
      <c r="J108" s="548">
        <f t="shared" si="369"/>
        <v>0.14378579572403724</v>
      </c>
      <c r="K108" s="548">
        <f t="shared" si="369"/>
        <v>0.14111038551881314</v>
      </c>
      <c r="L108" s="548">
        <f t="shared" si="369"/>
        <v>0.14104510280162674</v>
      </c>
      <c r="M108" s="548">
        <f t="shared" si="369"/>
        <v>0.13747305058314968</v>
      </c>
      <c r="N108" s="548">
        <f t="shared" si="369"/>
        <v>0.13269181412335745</v>
      </c>
      <c r="O108" s="548">
        <f t="shared" si="369"/>
        <v>0.13307962287730685</v>
      </c>
      <c r="P108" s="548">
        <f t="shared" si="369"/>
        <v>0.13509949965274223</v>
      </c>
      <c r="Q108" s="548">
        <f t="shared" si="369"/>
        <v>0.13344465536354747</v>
      </c>
      <c r="R108" s="548">
        <f t="shared" si="369"/>
        <v>0.13288214259226852</v>
      </c>
      <c r="S108" s="548">
        <f>IFERROR(S13/S$22,"")</f>
        <v>0.13500319294346952</v>
      </c>
      <c r="T108" s="548">
        <f>IFERROR(T13/T$22,"")</f>
        <v>0.13794510839017327</v>
      </c>
      <c r="U108" s="548">
        <f>IFERROR(U13/U$22,"")</f>
        <v>0.13706779780135364</v>
      </c>
      <c r="V108" s="548">
        <f>IFERROR(V13/V$22,"")</f>
        <v>0.14525906478364892</v>
      </c>
      <c r="W108" s="548">
        <f>IFERROR(W13/W$22,"")</f>
        <v>0.14222311096337231</v>
      </c>
      <c r="X108" s="548">
        <f>IFERROR(X13/X$22,"")</f>
        <v>0.1363648419585613</v>
      </c>
      <c r="Y108" s="548"/>
      <c r="Z108" s="548"/>
      <c r="AL108" s="548">
        <f>IFERROR(AL13/AL$22,"")</f>
        <v>0.13646632623452884</v>
      </c>
      <c r="AM108" s="548">
        <f>IFERROR(AM13/AM$22,"")</f>
        <v>0.13918531827451217</v>
      </c>
    </row>
    <row r="109" spans="1:39">
      <c r="B109" s="561" t="s">
        <v>32</v>
      </c>
      <c r="C109" s="548">
        <f>IFERROR(C15/C$22,"")</f>
        <v>8.3237394779606413E-2</v>
      </c>
      <c r="D109" s="548">
        <f t="shared" ref="D109:R109" si="370">IFERROR(D15/D$22,"")</f>
        <v>7.8906645592083782E-2</v>
      </c>
      <c r="E109" s="548">
        <f t="shared" si="370"/>
        <v>7.5919393204569183E-2</v>
      </c>
      <c r="F109" s="548">
        <f t="shared" si="370"/>
        <v>7.3095120706208425E-2</v>
      </c>
      <c r="G109" s="548">
        <f t="shared" si="370"/>
        <v>7.0504665783609491E-2</v>
      </c>
      <c r="H109" s="548">
        <f t="shared" si="370"/>
        <v>7.0482753383824676E-2</v>
      </c>
      <c r="I109" s="548">
        <f t="shared" si="370"/>
        <v>0</v>
      </c>
      <c r="J109" s="548">
        <f t="shared" si="370"/>
        <v>0</v>
      </c>
      <c r="K109" s="548">
        <f t="shared" si="370"/>
        <v>0</v>
      </c>
      <c r="L109" s="548">
        <f t="shared" si="370"/>
        <v>0</v>
      </c>
      <c r="M109" s="548">
        <f t="shared" si="370"/>
        <v>0</v>
      </c>
      <c r="N109" s="548">
        <f t="shared" si="370"/>
        <v>0</v>
      </c>
      <c r="O109" s="548">
        <f t="shared" si="370"/>
        <v>0</v>
      </c>
      <c r="P109" s="548">
        <f t="shared" si="370"/>
        <v>0</v>
      </c>
      <c r="Q109" s="548">
        <f t="shared" si="370"/>
        <v>0</v>
      </c>
      <c r="R109" s="548">
        <f t="shared" si="370"/>
        <v>0</v>
      </c>
      <c r="S109" s="548">
        <f>IFERROR(S15/S$22,"")</f>
        <v>0</v>
      </c>
      <c r="T109" s="548">
        <f>IFERROR(T15/T$22,"")</f>
        <v>0</v>
      </c>
      <c r="U109" s="548">
        <f>IFERROR(U15/U$22,"")</f>
        <v>0</v>
      </c>
      <c r="V109" s="548">
        <f>IFERROR(V15/V$22,"")</f>
        <v>0</v>
      </c>
      <c r="W109" s="548">
        <f t="shared" ref="W109:X109" si="371">IFERROR(W15/W$22,"")</f>
        <v>0</v>
      </c>
      <c r="X109" s="548">
        <f t="shared" si="371"/>
        <v>0</v>
      </c>
      <c r="Y109" s="548"/>
      <c r="Z109" s="548"/>
      <c r="AL109" s="548">
        <f>IFERROR(AL15/AL$22,"")</f>
        <v>0</v>
      </c>
      <c r="AM109" s="548">
        <f>IFERROR(AM15/AM$22,"")</f>
        <v>0</v>
      </c>
    </row>
    <row r="110" spans="1:39">
      <c r="B110" s="561" t="s">
        <v>33</v>
      </c>
      <c r="C110" s="548">
        <f>IFERROR(C16/C$22,"")</f>
        <v>5.2512549486688626E-3</v>
      </c>
      <c r="D110" s="548">
        <f t="shared" ref="D110:R110" si="372">IFERROR(D16/D$22,"")</f>
        <v>5.233942066981208E-3</v>
      </c>
      <c r="E110" s="548">
        <f t="shared" si="372"/>
        <v>5.2614985723034016E-3</v>
      </c>
      <c r="F110" s="548">
        <f t="shared" si="372"/>
        <v>5.2266032366814893E-3</v>
      </c>
      <c r="G110" s="548">
        <f t="shared" si="372"/>
        <v>4.6693972239301336E-3</v>
      </c>
      <c r="H110" s="548">
        <f t="shared" si="372"/>
        <v>4.4544681941150197E-3</v>
      </c>
      <c r="I110" s="548">
        <f t="shared" si="372"/>
        <v>3.9996297871995401E-3</v>
      </c>
      <c r="J110" s="548">
        <f t="shared" si="372"/>
        <v>3.8151865040955729E-3</v>
      </c>
      <c r="K110" s="548">
        <f t="shared" si="372"/>
        <v>3.5435689210385197E-3</v>
      </c>
      <c r="L110" s="548">
        <f t="shared" si="372"/>
        <v>3.3815018467366143E-3</v>
      </c>
      <c r="M110" s="548">
        <f t="shared" si="372"/>
        <v>3.2661257167873104E-3</v>
      </c>
      <c r="N110" s="548">
        <f t="shared" si="372"/>
        <v>3.1237797735259665E-3</v>
      </c>
      <c r="O110" s="548">
        <f t="shared" si="372"/>
        <v>2.0329072977265383E-3</v>
      </c>
      <c r="P110" s="548">
        <f t="shared" si="372"/>
        <v>2.0119852276637247E-3</v>
      </c>
      <c r="Q110" s="548">
        <f t="shared" si="372"/>
        <v>2.1688703304984899E-3</v>
      </c>
      <c r="R110" s="548">
        <f t="shared" si="372"/>
        <v>2.2371971778860815E-3</v>
      </c>
      <c r="S110" s="548">
        <f>IFERROR(S16/S$22,"")</f>
        <v>2.4938999819471156E-3</v>
      </c>
      <c r="T110" s="548">
        <f>IFERROR(T16/T$22,"")</f>
        <v>2.5181383556060664E-3</v>
      </c>
      <c r="U110" s="548">
        <f>IFERROR(U16/U$22,"")</f>
        <v>2.4940551856884653E-3</v>
      </c>
      <c r="V110" s="548">
        <f>IFERROR(V16/V$22,"")</f>
        <v>2.5568295023285139E-3</v>
      </c>
      <c r="W110" s="548">
        <f t="shared" ref="W110:X110" si="373">IFERROR(W16/W$22,"")</f>
        <v>2.4431003677310784E-3</v>
      </c>
      <c r="X110" s="548">
        <f t="shared" si="373"/>
        <v>0</v>
      </c>
      <c r="Y110" s="548"/>
      <c r="Z110" s="548"/>
      <c r="AL110" s="548">
        <f>IFERROR(AL16/AL$22,"")</f>
        <v>2.5059547034590071E-3</v>
      </c>
      <c r="AM110" s="548">
        <f>IFERROR(AM16/AM$22,"")</f>
        <v>1.1762359698773565E-3</v>
      </c>
    </row>
    <row r="111" spans="1:39">
      <c r="B111" s="561" t="s">
        <v>34</v>
      </c>
      <c r="C111" s="548">
        <f>IFERROR(C18/C$22,"")</f>
        <v>0.26730329421721655</v>
      </c>
      <c r="D111" s="548">
        <f t="shared" ref="D111:R111" si="374">IFERROR(D18/D$22,"")</f>
        <v>0.27994964815226703</v>
      </c>
      <c r="E111" s="548">
        <f t="shared" si="374"/>
        <v>0.28565228380972152</v>
      </c>
      <c r="F111" s="548">
        <f t="shared" si="374"/>
        <v>0.28189442849985014</v>
      </c>
      <c r="G111" s="548">
        <f t="shared" si="374"/>
        <v>0.27699423072226198</v>
      </c>
      <c r="H111" s="548">
        <f t="shared" si="374"/>
        <v>0.28595055811414416</v>
      </c>
      <c r="I111" s="548">
        <f t="shared" si="374"/>
        <v>0.28826501796648291</v>
      </c>
      <c r="J111" s="548">
        <f t="shared" si="374"/>
        <v>0.29524451440446176</v>
      </c>
      <c r="K111" s="548">
        <f t="shared" si="374"/>
        <v>0.30451467931513465</v>
      </c>
      <c r="L111" s="548">
        <f t="shared" si="374"/>
        <v>0.30330602395021594</v>
      </c>
      <c r="M111" s="548">
        <f t="shared" si="374"/>
        <v>0.30486563586079435</v>
      </c>
      <c r="N111" s="548">
        <f t="shared" si="374"/>
        <v>0.29165239553289984</v>
      </c>
      <c r="O111" s="548">
        <f t="shared" si="374"/>
        <v>0.29575350553463536</v>
      </c>
      <c r="P111" s="548">
        <f t="shared" si="374"/>
        <v>0.30252387840343731</v>
      </c>
      <c r="Q111" s="548">
        <f t="shared" si="374"/>
        <v>0.30967368205540907</v>
      </c>
      <c r="R111" s="548">
        <f t="shared" si="374"/>
        <v>0.30635338750286067</v>
      </c>
      <c r="S111" s="548">
        <f>IFERROR(S18/S$22,"")</f>
        <v>0.30226623900413185</v>
      </c>
      <c r="T111" s="548">
        <f>IFERROR(T18/T$22,"")</f>
        <v>0.27742197009490954</v>
      </c>
      <c r="U111" s="548">
        <f>IFERROR(U18/U$22,"")</f>
        <v>0.2716984411111017</v>
      </c>
      <c r="V111" s="548">
        <f>IFERROR(V18/V$22,"")</f>
        <v>0.24716682560977518</v>
      </c>
      <c r="W111" s="548">
        <f>IFERROR(W18/W$22,"")</f>
        <v>0.25026839352893093</v>
      </c>
      <c r="X111" s="548">
        <f>IFERROR(X18/X$22,"")</f>
        <v>0.24505201458085296</v>
      </c>
      <c r="Y111" s="548"/>
      <c r="Z111" s="548"/>
      <c r="AL111" s="548">
        <f>IFERROR(AL18/AL$22,"")</f>
        <v>0.28991018132958452</v>
      </c>
      <c r="AM111" s="548">
        <f>IFERROR(AM18/AM$22,"")</f>
        <v>0.247563451537059</v>
      </c>
    </row>
    <row r="112" spans="1:39">
      <c r="B112" s="561" t="s">
        <v>819</v>
      </c>
      <c r="C112" s="548">
        <f>IFERROR(C20/C$22,"")</f>
        <v>-9.7631169453407357E-2</v>
      </c>
      <c r="D112" s="548">
        <f t="shared" ref="D112:R112" si="375">IFERROR(D20/D$22,"")</f>
        <v>-0.10466937670659164</v>
      </c>
      <c r="E112" s="548">
        <f t="shared" si="375"/>
        <v>-8.8100541872239882E-2</v>
      </c>
      <c r="F112" s="548">
        <f t="shared" si="375"/>
        <v>-0.12068970634875995</v>
      </c>
      <c r="G112" s="548">
        <f t="shared" si="375"/>
        <v>-0.1122458313717081</v>
      </c>
      <c r="H112" s="548">
        <f t="shared" si="375"/>
        <v>-0.10932627256848217</v>
      </c>
      <c r="I112" s="548">
        <f t="shared" si="375"/>
        <v>-3.7308694139442232E-2</v>
      </c>
      <c r="J112" s="548">
        <f t="shared" si="375"/>
        <v>-4.2826139717500954E-2</v>
      </c>
      <c r="K112" s="548">
        <f t="shared" si="375"/>
        <v>-3.6362673727280533E-2</v>
      </c>
      <c r="L112" s="548">
        <f t="shared" si="375"/>
        <v>-3.7359266646478123E-2</v>
      </c>
      <c r="M112" s="548">
        <f t="shared" si="375"/>
        <v>-3.5074326036130483E-2</v>
      </c>
      <c r="N112" s="548">
        <f t="shared" si="375"/>
        <v>-3.5639662770878724E-2</v>
      </c>
      <c r="O112" s="548">
        <f t="shared" si="375"/>
        <v>-3.489905375750358E-2</v>
      </c>
      <c r="P112" s="548">
        <f t="shared" si="375"/>
        <v>-3.6299570441442761E-2</v>
      </c>
      <c r="Q112" s="548">
        <f t="shared" si="375"/>
        <v>-3.5326118352285905E-2</v>
      </c>
      <c r="R112" s="548">
        <f t="shared" si="375"/>
        <v>-3.5071537325252547E-2</v>
      </c>
      <c r="S112" s="548">
        <f>IFERROR(S20/S$22,"")</f>
        <v>-3.5245696104227842E-2</v>
      </c>
      <c r="T112" s="548">
        <f>IFERROR(T20/T$22,"")</f>
        <v>-3.672813152006825E-2</v>
      </c>
      <c r="U112" s="548">
        <f>IFERROR(U20/U$22,"")</f>
        <v>-3.6442238833562381E-2</v>
      </c>
      <c r="V112" s="548">
        <f>IFERROR(V20/V$22,"")</f>
        <v>-3.7299172550204644E-2</v>
      </c>
      <c r="W112" s="548">
        <f>IFERROR(W20/W$22,"")</f>
        <v>-3.5647317551950448E-2</v>
      </c>
      <c r="X112" s="548">
        <f>IFERROR(X20/X$22,"")</f>
        <v>-3.3108426778580224E-2</v>
      </c>
      <c r="Y112" s="548"/>
      <c r="Z112" s="548"/>
      <c r="AL112" s="548">
        <f>IFERROR(AL20/AL$22,"")</f>
        <v>0</v>
      </c>
      <c r="AM112" s="548">
        <f>IFERROR(AM20/AM$22,"")</f>
        <v>0</v>
      </c>
    </row>
    <row r="113" spans="1:39">
      <c r="B113" s="562" t="s">
        <v>211</v>
      </c>
      <c r="C113" s="571">
        <f>IFERROR(C22/C$22,"")</f>
        <v>1</v>
      </c>
      <c r="D113" s="571">
        <f t="shared" ref="D113:R113" si="376">IFERROR(D22/D$22,"")</f>
        <v>1</v>
      </c>
      <c r="E113" s="571">
        <f t="shared" si="376"/>
        <v>1</v>
      </c>
      <c r="F113" s="571">
        <f t="shared" si="376"/>
        <v>1</v>
      </c>
      <c r="G113" s="571">
        <f t="shared" si="376"/>
        <v>1</v>
      </c>
      <c r="H113" s="571">
        <f t="shared" si="376"/>
        <v>1</v>
      </c>
      <c r="I113" s="571">
        <f t="shared" si="376"/>
        <v>1</v>
      </c>
      <c r="J113" s="571">
        <f t="shared" si="376"/>
        <v>1</v>
      </c>
      <c r="K113" s="571">
        <f t="shared" si="376"/>
        <v>1</v>
      </c>
      <c r="L113" s="571">
        <f t="shared" si="376"/>
        <v>1</v>
      </c>
      <c r="M113" s="571">
        <f t="shared" si="376"/>
        <v>1</v>
      </c>
      <c r="N113" s="571">
        <f t="shared" si="376"/>
        <v>1</v>
      </c>
      <c r="O113" s="571">
        <f t="shared" si="376"/>
        <v>1</v>
      </c>
      <c r="P113" s="571">
        <f t="shared" si="376"/>
        <v>1</v>
      </c>
      <c r="Q113" s="571">
        <f t="shared" si="376"/>
        <v>1</v>
      </c>
      <c r="R113" s="571">
        <f t="shared" si="376"/>
        <v>1</v>
      </c>
      <c r="S113" s="571">
        <f>IFERROR(S22/S$22,"")</f>
        <v>1</v>
      </c>
      <c r="T113" s="571">
        <f>IFERROR(T22/T$22,"")</f>
        <v>1</v>
      </c>
      <c r="U113" s="571">
        <f>IFERROR(U22/U$22,"")</f>
        <v>1</v>
      </c>
      <c r="V113" s="571">
        <f>IFERROR(V22/V$22,"")</f>
        <v>1</v>
      </c>
      <c r="W113" s="571">
        <f>IFERROR(W22/W$22,"")</f>
        <v>1</v>
      </c>
      <c r="X113" s="571">
        <f>IFERROR(X22/X$22,"")</f>
        <v>1</v>
      </c>
      <c r="Y113" s="576"/>
      <c r="Z113" s="576"/>
      <c r="AL113" s="548">
        <f>IFERROR(AL22/AL$22,"")</f>
        <v>1</v>
      </c>
      <c r="AM113" s="548">
        <f>IFERROR(AM22/AM$22,"")</f>
        <v>1</v>
      </c>
    </row>
    <row r="115" spans="1:39">
      <c r="B115" s="557" t="s">
        <v>873</v>
      </c>
    </row>
    <row r="116" spans="1:39">
      <c r="B116" s="561" t="s">
        <v>741</v>
      </c>
      <c r="C116" s="548">
        <f>C31/C$44</f>
        <v>0.45618508512646311</v>
      </c>
      <c r="D116" s="548">
        <f t="shared" ref="D116:R116" si="377">D31/D$44</f>
        <v>0.44663898929086981</v>
      </c>
      <c r="E116" s="548">
        <f t="shared" si="377"/>
        <v>0.4289690526863324</v>
      </c>
      <c r="F116" s="548">
        <f t="shared" si="377"/>
        <v>0.52038246788806763</v>
      </c>
      <c r="G116" s="548">
        <f t="shared" si="377"/>
        <v>0.51615416383061352</v>
      </c>
      <c r="H116" s="548">
        <f t="shared" si="377"/>
        <v>0.52329140518028849</v>
      </c>
      <c r="I116" s="548">
        <f t="shared" si="377"/>
        <v>0.53046691293146786</v>
      </c>
      <c r="J116" s="548">
        <f t="shared" si="377"/>
        <v>0.53164127731640154</v>
      </c>
      <c r="K116" s="548">
        <f t="shared" si="377"/>
        <v>0.53327080902633928</v>
      </c>
      <c r="L116" s="548">
        <f t="shared" si="377"/>
        <v>0.53274788303359322</v>
      </c>
      <c r="M116" s="548">
        <f t="shared" si="377"/>
        <v>0.52978239317699805</v>
      </c>
      <c r="N116" s="548">
        <f t="shared" si="377"/>
        <v>0.55380078257139342</v>
      </c>
      <c r="O116" s="548">
        <f t="shared" si="377"/>
        <v>0.55808579946569115</v>
      </c>
      <c r="P116" s="548">
        <f t="shared" si="377"/>
        <v>0.55716408700734599</v>
      </c>
      <c r="Q116" s="548">
        <f t="shared" si="377"/>
        <v>0.55976949120176422</v>
      </c>
      <c r="R116" s="548">
        <f t="shared" si="377"/>
        <v>0.55951855888909396</v>
      </c>
      <c r="S116" s="548">
        <f t="shared" ref="S116:V116" si="378">S31/S$44</f>
        <v>0.56550374143248527</v>
      </c>
      <c r="T116" s="548">
        <f t="shared" si="378"/>
        <v>0.58499717135069595</v>
      </c>
      <c r="U116" s="548">
        <f t="shared" si="378"/>
        <v>0.59488215236109943</v>
      </c>
      <c r="V116" s="548">
        <f t="shared" si="378"/>
        <v>0.62074539964587849</v>
      </c>
      <c r="W116" s="548">
        <f t="shared" ref="W116:X116" si="379">W31/W$44</f>
        <v>0.62812246166805386</v>
      </c>
      <c r="X116" s="548">
        <f t="shared" si="379"/>
        <v>0.64352501487223501</v>
      </c>
      <c r="Y116" s="548"/>
      <c r="Z116" s="548"/>
    </row>
    <row r="117" spans="1:39">
      <c r="B117" s="561" t="s">
        <v>742</v>
      </c>
      <c r="C117" s="548">
        <f>C33/C$44</f>
        <v>2.9719807173303817E-2</v>
      </c>
      <c r="D117" s="548">
        <f t="shared" ref="D117:R117" si="380">D33/D$44</f>
        <v>2.7651265064959771E-2</v>
      </c>
      <c r="E117" s="548">
        <f t="shared" si="380"/>
        <v>3.5318783436742968E-2</v>
      </c>
      <c r="F117" s="548">
        <f t="shared" si="380"/>
        <v>3.0854820688030173E-2</v>
      </c>
      <c r="G117" s="548">
        <f t="shared" si="380"/>
        <v>3.4726231623884982E-2</v>
      </c>
      <c r="H117" s="548">
        <f t="shared" si="380"/>
        <v>3.0414507408146163E-2</v>
      </c>
      <c r="I117" s="548">
        <f t="shared" si="380"/>
        <v>2.5874746262063951E-2</v>
      </c>
      <c r="J117" s="548">
        <f t="shared" si="380"/>
        <v>2.6579814846897837E-2</v>
      </c>
      <c r="K117" s="548">
        <f t="shared" si="380"/>
        <v>2.4485701153956967E-2</v>
      </c>
      <c r="L117" s="548">
        <f t="shared" si="380"/>
        <v>2.6958773550582477E-2</v>
      </c>
      <c r="M117" s="548">
        <f t="shared" si="380"/>
        <v>2.9235882057337598E-2</v>
      </c>
      <c r="N117" s="548">
        <f t="shared" si="380"/>
        <v>2.9837790810331052E-2</v>
      </c>
      <c r="O117" s="548">
        <f t="shared" si="380"/>
        <v>2.9673364915777385E-2</v>
      </c>
      <c r="P117" s="548">
        <f t="shared" si="380"/>
        <v>2.8119871825835738E-2</v>
      </c>
      <c r="Q117" s="548">
        <f t="shared" si="380"/>
        <v>2.781016399018434E-2</v>
      </c>
      <c r="R117" s="548">
        <f t="shared" si="380"/>
        <v>2.9384148949005082E-2</v>
      </c>
      <c r="S117" s="548">
        <f>S33/S$44</f>
        <v>2.9678923817867828E-2</v>
      </c>
      <c r="T117" s="548">
        <f>T33/T$44</f>
        <v>3.0884533950149999E-2</v>
      </c>
      <c r="U117" s="548">
        <f>U33/U$44</f>
        <v>3.1847329120763532E-2</v>
      </c>
      <c r="V117" s="548">
        <f>V33/V$44</f>
        <v>3.3513796398773277E-2</v>
      </c>
      <c r="W117" s="548">
        <f>W33/W$44</f>
        <v>3.4431062664834887E-2</v>
      </c>
      <c r="X117" s="548">
        <f>X33/X$44</f>
        <v>3.270983474789859E-2</v>
      </c>
      <c r="Y117" s="548"/>
      <c r="Z117" s="548"/>
    </row>
    <row r="118" spans="1:39">
      <c r="B118" s="561" t="s">
        <v>743</v>
      </c>
      <c r="C118" s="548">
        <f>C35/C$44</f>
        <v>6.197278402373832E-2</v>
      </c>
      <c r="D118" s="548">
        <f t="shared" ref="D118:R118" si="381">D35/D$44</f>
        <v>6.2744088716806729E-2</v>
      </c>
      <c r="E118" s="548">
        <f t="shared" si="381"/>
        <v>5.8188459303804591E-2</v>
      </c>
      <c r="F118" s="548">
        <f t="shared" si="381"/>
        <v>3.7374168555095705E-2</v>
      </c>
      <c r="G118" s="548">
        <f t="shared" si="381"/>
        <v>4.9820842137981013E-2</v>
      </c>
      <c r="H118" s="548">
        <f t="shared" si="381"/>
        <v>4.7524371844351557E-2</v>
      </c>
      <c r="I118" s="548">
        <f t="shared" si="381"/>
        <v>4.3452067322846032E-2</v>
      </c>
      <c r="J118" s="548">
        <f t="shared" si="381"/>
        <v>4.0570860249064256E-2</v>
      </c>
      <c r="K118" s="548">
        <f t="shared" si="381"/>
        <v>4.1099456055620417E-2</v>
      </c>
      <c r="L118" s="548">
        <f t="shared" si="381"/>
        <v>3.7909214778458662E-2</v>
      </c>
      <c r="M118" s="548">
        <f t="shared" si="381"/>
        <v>3.5685787650875204E-2</v>
      </c>
      <c r="N118" s="548">
        <f t="shared" si="381"/>
        <v>3.0953230698069843E-2</v>
      </c>
      <c r="O118" s="548">
        <f t="shared" si="381"/>
        <v>2.8783097695532518E-2</v>
      </c>
      <c r="P118" s="548">
        <f t="shared" si="381"/>
        <v>2.4555558133760706E-2</v>
      </c>
      <c r="Q118" s="548">
        <f t="shared" si="381"/>
        <v>2.2214882547752446E-2</v>
      </c>
      <c r="R118" s="548">
        <f t="shared" si="381"/>
        <v>2.1701676301530852E-2</v>
      </c>
      <c r="S118" s="548">
        <f>S35/S$44</f>
        <v>2.1593153726558664E-2</v>
      </c>
      <c r="T118" s="548">
        <f>T35/T$44</f>
        <v>2.141955281070182E-2</v>
      </c>
      <c r="U118" s="548">
        <f>U35/U$44</f>
        <v>2.1377918058867885E-2</v>
      </c>
      <c r="V118" s="548">
        <f>V35/V$44</f>
        <v>2.2414675046328693E-2</v>
      </c>
      <c r="W118" s="548">
        <f>W35/W$44</f>
        <v>2.2071579707383601E-2</v>
      </c>
      <c r="X118" s="548">
        <f>X35/X$44</f>
        <v>1.926805898033232E-2</v>
      </c>
      <c r="Y118" s="548"/>
      <c r="Z118" s="548"/>
    </row>
    <row r="119" spans="1:39">
      <c r="B119" s="561" t="s">
        <v>744</v>
      </c>
      <c r="C119" s="548">
        <f>C37/C$44</f>
        <v>9.0138832722982468E-2</v>
      </c>
      <c r="D119" s="548">
        <f t="shared" ref="D119:R119" si="382">D37/D$44</f>
        <v>0.10480847778163221</v>
      </c>
      <c r="E119" s="548">
        <f t="shared" si="382"/>
        <v>0.12968009320626048</v>
      </c>
      <c r="F119" s="548">
        <f t="shared" si="382"/>
        <v>0.13795945841632162</v>
      </c>
      <c r="G119" s="548">
        <f t="shared" si="382"/>
        <v>0.1256194065247008</v>
      </c>
      <c r="H119" s="548">
        <f t="shared" si="382"/>
        <v>0.11881140886511304</v>
      </c>
      <c r="I119" s="548">
        <f t="shared" si="382"/>
        <v>0.11511089999891448</v>
      </c>
      <c r="J119" s="548">
        <f t="shared" si="382"/>
        <v>0.11815087192608392</v>
      </c>
      <c r="K119" s="548">
        <f t="shared" si="382"/>
        <v>0.11133843094473593</v>
      </c>
      <c r="L119" s="548">
        <f t="shared" si="382"/>
        <v>0.11358496757670659</v>
      </c>
      <c r="M119" s="548">
        <f t="shared" si="382"/>
        <v>0.1061658127220742</v>
      </c>
      <c r="N119" s="548">
        <f t="shared" si="382"/>
        <v>0.10282897822985405</v>
      </c>
      <c r="O119" s="548">
        <f t="shared" si="382"/>
        <v>0.10244999069164465</v>
      </c>
      <c r="P119" s="548">
        <f t="shared" si="382"/>
        <v>0.10322897717393291</v>
      </c>
      <c r="Q119" s="548">
        <f t="shared" si="382"/>
        <v>0.10241307065319301</v>
      </c>
      <c r="R119" s="548">
        <f t="shared" si="382"/>
        <v>0.10464395322740316</v>
      </c>
      <c r="S119" s="548">
        <f>S37/S$44</f>
        <v>0.10118117075439703</v>
      </c>
      <c r="T119" s="548">
        <f>T37/T$44</f>
        <v>0.10464138547228062</v>
      </c>
      <c r="U119" s="548">
        <f>U37/U$44</f>
        <v>0.10289783603944541</v>
      </c>
      <c r="V119" s="548">
        <f>V37/V$44</f>
        <v>0.10632786055820802</v>
      </c>
      <c r="W119" s="548">
        <f>W37/W$44</f>
        <v>9.955275217857823E-2</v>
      </c>
      <c r="X119" s="548">
        <f>X37/X$44</f>
        <v>9.176736645641187E-2</v>
      </c>
      <c r="Y119" s="548"/>
      <c r="Z119" s="548"/>
    </row>
    <row r="120" spans="1:39">
      <c r="B120" s="561" t="s">
        <v>745</v>
      </c>
      <c r="C120" s="548">
        <f>C39/C$44</f>
        <v>0.11839799910510325</v>
      </c>
      <c r="D120" s="548">
        <f t="shared" ref="D120:R120" si="383">D39/D$44</f>
        <v>0.103711827042512</v>
      </c>
      <c r="E120" s="548">
        <f t="shared" si="383"/>
        <v>9.3926023907277861E-2</v>
      </c>
      <c r="F120" s="548">
        <f t="shared" si="383"/>
        <v>9.2525908904642865E-2</v>
      </c>
      <c r="G120" s="548">
        <f t="shared" si="383"/>
        <v>8.6395944214570045E-2</v>
      </c>
      <c r="H120" s="548">
        <f t="shared" si="383"/>
        <v>8.2536857811124922E-2</v>
      </c>
      <c r="I120" s="548">
        <f t="shared" si="383"/>
        <v>0</v>
      </c>
      <c r="J120" s="548">
        <f t="shared" si="383"/>
        <v>0</v>
      </c>
      <c r="K120" s="548">
        <f t="shared" si="383"/>
        <v>0</v>
      </c>
      <c r="L120" s="548">
        <f t="shared" si="383"/>
        <v>0</v>
      </c>
      <c r="M120" s="548">
        <f t="shared" si="383"/>
        <v>0</v>
      </c>
      <c r="N120" s="548">
        <f t="shared" si="383"/>
        <v>0</v>
      </c>
      <c r="O120" s="548">
        <f t="shared" si="383"/>
        <v>0</v>
      </c>
      <c r="P120" s="548">
        <f t="shared" si="383"/>
        <v>0</v>
      </c>
      <c r="Q120" s="548">
        <f t="shared" si="383"/>
        <v>0</v>
      </c>
      <c r="R120" s="548">
        <f t="shared" si="383"/>
        <v>0</v>
      </c>
      <c r="S120" s="548">
        <f>S39/S$44</f>
        <v>0</v>
      </c>
      <c r="T120" s="548">
        <f>T39/T$44</f>
        <v>0</v>
      </c>
      <c r="U120" s="548">
        <f>U39/U$44</f>
        <v>0</v>
      </c>
      <c r="V120" s="548">
        <f>V39/V$44</f>
        <v>0</v>
      </c>
      <c r="W120" s="548">
        <f t="shared" ref="W120:X120" si="384">W39/W$44</f>
        <v>0</v>
      </c>
      <c r="X120" s="548">
        <f t="shared" si="384"/>
        <v>0</v>
      </c>
      <c r="Y120" s="548"/>
      <c r="Z120" s="548"/>
    </row>
    <row r="121" spans="1:39">
      <c r="B121" s="561" t="s">
        <v>746</v>
      </c>
      <c r="C121" s="548">
        <f>C40/C$44</f>
        <v>1.0832960459694321E-3</v>
      </c>
      <c r="D121" s="548">
        <f t="shared" ref="D121:R121" si="385">D40/D$44</f>
        <v>9.3998634781732927E-4</v>
      </c>
      <c r="E121" s="548">
        <f t="shared" si="385"/>
        <v>1.1342492091480283E-3</v>
      </c>
      <c r="F121" s="548">
        <f t="shared" si="385"/>
        <v>1.5055740337970966E-3</v>
      </c>
      <c r="G121" s="548">
        <f t="shared" si="385"/>
        <v>9.7087987564786228E-4</v>
      </c>
      <c r="H121" s="548">
        <f t="shared" si="385"/>
        <v>1.0305833764128545E-3</v>
      </c>
      <c r="I121" s="548">
        <f t="shared" si="385"/>
        <v>3.1879596354903562E-4</v>
      </c>
      <c r="J121" s="548">
        <f t="shared" si="385"/>
        <v>-9.6679770270442344E-4</v>
      </c>
      <c r="K121" s="548">
        <f t="shared" si="385"/>
        <v>-8.3928038944910337E-4</v>
      </c>
      <c r="L121" s="548">
        <f t="shared" si="385"/>
        <v>-1.00822678960885E-3</v>
      </c>
      <c r="M121" s="548">
        <f t="shared" si="385"/>
        <v>-1.4008296126993586E-3</v>
      </c>
      <c r="N121" s="548">
        <f t="shared" si="385"/>
        <v>-1.0001000100010001E-3</v>
      </c>
      <c r="O121" s="548">
        <f t="shared" si="385"/>
        <v>-6.5092337774046041E-4</v>
      </c>
      <c r="P121" s="548">
        <f t="shared" si="385"/>
        <v>-7.9404145722073577E-4</v>
      </c>
      <c r="Q121" s="548">
        <f t="shared" si="385"/>
        <v>-7.0477317170688017E-4</v>
      </c>
      <c r="R121" s="548">
        <f t="shared" si="385"/>
        <v>-7.358642879133554E-4</v>
      </c>
      <c r="S121" s="548">
        <f>S40/S$44</f>
        <v>-5.6928603853925502E-4</v>
      </c>
      <c r="T121" s="548">
        <f>T40/T$44</f>
        <v>-6.0943166777802104E-4</v>
      </c>
      <c r="U121" s="548">
        <f>U40/U$44</f>
        <v>-7.5355780745630079E-4</v>
      </c>
      <c r="V121" s="548">
        <f>V40/V$44</f>
        <v>-1.3552171230083818E-3</v>
      </c>
      <c r="W121" s="548">
        <f t="shared" ref="W121:X121" si="386">W40/W$44</f>
        <v>-8.3307427723348145E-4</v>
      </c>
      <c r="X121" s="548">
        <f t="shared" si="386"/>
        <v>0</v>
      </c>
      <c r="Y121" s="548"/>
      <c r="Z121" s="548"/>
    </row>
    <row r="122" spans="1:39">
      <c r="B122" s="561" t="s">
        <v>747</v>
      </c>
      <c r="C122" s="548">
        <f>C42/C$44</f>
        <v>0.28502451360668718</v>
      </c>
      <c r="D122" s="548">
        <f t="shared" ref="D122:R122" si="387">D42/D$44</f>
        <v>0.29186576099728073</v>
      </c>
      <c r="E122" s="548">
        <f t="shared" si="387"/>
        <v>0.30300062022294783</v>
      </c>
      <c r="F122" s="548">
        <f t="shared" si="387"/>
        <v>0.29341014887035438</v>
      </c>
      <c r="G122" s="548">
        <f t="shared" si="387"/>
        <v>0.28092187708168165</v>
      </c>
      <c r="H122" s="548">
        <f t="shared" si="387"/>
        <v>0.28822866801336816</v>
      </c>
      <c r="I122" s="548">
        <f t="shared" si="387"/>
        <v>0.29440746239991028</v>
      </c>
      <c r="J122" s="548">
        <f t="shared" si="387"/>
        <v>0.2880851063430791</v>
      </c>
      <c r="K122" s="548">
        <f t="shared" si="387"/>
        <v>0.29776059310595632</v>
      </c>
      <c r="L122" s="548">
        <f t="shared" si="387"/>
        <v>0.29778963537724429</v>
      </c>
      <c r="M122" s="548">
        <f t="shared" si="387"/>
        <v>0.30319023897522268</v>
      </c>
      <c r="N122" s="548">
        <f t="shared" si="387"/>
        <v>0.28668528335586696</v>
      </c>
      <c r="O122" s="548">
        <f t="shared" si="387"/>
        <v>0.28535394596036939</v>
      </c>
      <c r="P122" s="548">
        <f t="shared" si="387"/>
        <v>0.28921155304319118</v>
      </c>
      <c r="Q122" s="548">
        <f t="shared" si="387"/>
        <v>0.29282508227040255</v>
      </c>
      <c r="R122" s="548">
        <f t="shared" si="387"/>
        <v>0.28808906390045108</v>
      </c>
      <c r="S122" s="548">
        <f>S42/S$44</f>
        <v>0.28375641262208218</v>
      </c>
      <c r="T122" s="548">
        <f>T42/T$44</f>
        <v>0.26014650249846871</v>
      </c>
      <c r="U122" s="548">
        <f>U42/U$44</f>
        <v>0.25239309218367995</v>
      </c>
      <c r="V122" s="548">
        <f>V42/V$44</f>
        <v>0.22070347492651066</v>
      </c>
      <c r="W122" s="548">
        <f>W42/W$44</f>
        <v>0.21869279839534431</v>
      </c>
      <c r="X122" s="548">
        <f>X42/X$44</f>
        <v>0.21460749000483867</v>
      </c>
      <c r="Y122" s="548"/>
      <c r="Z122" s="548"/>
    </row>
    <row r="123" spans="1:39">
      <c r="B123" s="562" t="s">
        <v>37</v>
      </c>
      <c r="C123" s="571">
        <f>C44/C$44</f>
        <v>1</v>
      </c>
      <c r="D123" s="571">
        <f t="shared" ref="D123:R123" si="388">D44/D$44</f>
        <v>1</v>
      </c>
      <c r="E123" s="571">
        <f t="shared" si="388"/>
        <v>1</v>
      </c>
      <c r="F123" s="571">
        <f t="shared" si="388"/>
        <v>1</v>
      </c>
      <c r="G123" s="571">
        <f t="shared" si="388"/>
        <v>1</v>
      </c>
      <c r="H123" s="571">
        <f t="shared" si="388"/>
        <v>1</v>
      </c>
      <c r="I123" s="571">
        <f t="shared" si="388"/>
        <v>1</v>
      </c>
      <c r="J123" s="571">
        <f t="shared" si="388"/>
        <v>1</v>
      </c>
      <c r="K123" s="571">
        <f t="shared" si="388"/>
        <v>1</v>
      </c>
      <c r="L123" s="571">
        <f t="shared" si="388"/>
        <v>1</v>
      </c>
      <c r="M123" s="571">
        <f t="shared" si="388"/>
        <v>1</v>
      </c>
      <c r="N123" s="571">
        <f t="shared" si="388"/>
        <v>1</v>
      </c>
      <c r="O123" s="571">
        <f t="shared" si="388"/>
        <v>1</v>
      </c>
      <c r="P123" s="571">
        <f t="shared" si="388"/>
        <v>1</v>
      </c>
      <c r="Q123" s="571">
        <f t="shared" si="388"/>
        <v>1</v>
      </c>
      <c r="R123" s="571">
        <f t="shared" si="388"/>
        <v>1</v>
      </c>
      <c r="S123" s="571">
        <f>S44/S$44</f>
        <v>1</v>
      </c>
      <c r="T123" s="571">
        <f>T44/T$44</f>
        <v>1</v>
      </c>
      <c r="U123" s="571">
        <f>U44/U$44</f>
        <v>1</v>
      </c>
      <c r="V123" s="571">
        <f>V44/V$44</f>
        <v>1</v>
      </c>
      <c r="W123" s="571">
        <f>W44/W$44</f>
        <v>1</v>
      </c>
      <c r="X123" s="571">
        <f>X44/X$44</f>
        <v>1</v>
      </c>
      <c r="Y123" s="576"/>
      <c r="Z123" s="576"/>
    </row>
    <row r="125" spans="1:39">
      <c r="A125" s="537" t="s">
        <v>852</v>
      </c>
      <c r="B125" s="557" t="s">
        <v>874</v>
      </c>
    </row>
    <row r="126" spans="1:39">
      <c r="B126" s="537" t="s">
        <v>38</v>
      </c>
      <c r="C126" s="538">
        <f>C56</f>
        <v>17339</v>
      </c>
      <c r="D126" s="538">
        <f t="shared" ref="D126:F126" si="389">D56</f>
        <v>20012</v>
      </c>
      <c r="E126" s="538">
        <f t="shared" si="389"/>
        <v>24092.971654773908</v>
      </c>
      <c r="F126" s="538">
        <f t="shared" si="389"/>
        <v>28997</v>
      </c>
      <c r="G126" s="538">
        <f>G56</f>
        <v>30053.830939632986</v>
      </c>
      <c r="H126" s="538">
        <f t="shared" ref="H126:V126" si="390">H56</f>
        <v>39730.986200810119</v>
      </c>
      <c r="I126" s="538">
        <f t="shared" si="390"/>
        <v>46746.182859556924</v>
      </c>
      <c r="J126" s="538">
        <f t="shared" si="390"/>
        <v>50811.850128000035</v>
      </c>
      <c r="K126" s="538">
        <f t="shared" si="390"/>
        <v>54757</v>
      </c>
      <c r="L126" s="538">
        <f t="shared" si="390"/>
        <v>57705</v>
      </c>
      <c r="M126" s="538">
        <f t="shared" si="390"/>
        <v>63575</v>
      </c>
      <c r="N126" s="538">
        <f t="shared" si="390"/>
        <v>74158</v>
      </c>
      <c r="O126" s="538">
        <f t="shared" si="390"/>
        <v>78230.059175110888</v>
      </c>
      <c r="P126" s="538">
        <f t="shared" si="390"/>
        <v>87744</v>
      </c>
      <c r="Q126" s="538">
        <f t="shared" si="390"/>
        <v>93030.487913460121</v>
      </c>
      <c r="R126" s="538">
        <f t="shared" si="390"/>
        <v>94008</v>
      </c>
      <c r="S126" s="538">
        <f t="shared" si="390"/>
        <v>100923</v>
      </c>
      <c r="T126" s="538">
        <f t="shared" si="390"/>
        <v>99306.565760097932</v>
      </c>
      <c r="U126" s="538">
        <f t="shared" si="390"/>
        <v>99699.638997884031</v>
      </c>
      <c r="V126" s="538">
        <f t="shared" si="390"/>
        <v>95152.96373130448</v>
      </c>
      <c r="W126" s="538">
        <f t="shared" ref="W126:X126" si="391">W56</f>
        <v>94041</v>
      </c>
      <c r="X126" s="538">
        <f t="shared" si="391"/>
        <v>110209</v>
      </c>
      <c r="Y126" s="538"/>
      <c r="Z126" s="538"/>
    </row>
    <row r="127" spans="1:39">
      <c r="B127" s="537" t="s">
        <v>875</v>
      </c>
      <c r="C127" s="572">
        <v>0.15</v>
      </c>
      <c r="D127" s="572">
        <v>0.15</v>
      </c>
      <c r="E127" s="572">
        <v>0.15</v>
      </c>
      <c r="F127" s="572">
        <v>0.15</v>
      </c>
      <c r="G127" s="572">
        <v>0.15</v>
      </c>
      <c r="H127" s="572">
        <v>0.15</v>
      </c>
      <c r="I127" s="572">
        <v>0.15</v>
      </c>
      <c r="J127" s="572">
        <v>0.15</v>
      </c>
      <c r="K127" s="572">
        <v>0.15</v>
      </c>
      <c r="L127" s="572">
        <v>0.15</v>
      </c>
      <c r="M127" s="572">
        <v>0.15</v>
      </c>
      <c r="N127" s="572">
        <v>0.15</v>
      </c>
      <c r="O127" s="572">
        <v>0.15</v>
      </c>
      <c r="P127" s="572">
        <v>0.15</v>
      </c>
      <c r="Q127" s="572">
        <v>0.15</v>
      </c>
      <c r="R127" s="572">
        <v>0.15</v>
      </c>
      <c r="S127" s="572">
        <v>0.15</v>
      </c>
      <c r="T127" s="572">
        <v>0.15</v>
      </c>
      <c r="U127" s="572">
        <v>0.15</v>
      </c>
      <c r="V127" s="572">
        <v>0.15</v>
      </c>
      <c r="W127" s="572">
        <v>0.15</v>
      </c>
      <c r="X127" s="572">
        <v>0.15</v>
      </c>
      <c r="Y127" s="572"/>
      <c r="Z127" s="572"/>
    </row>
    <row r="128" spans="1:39" s="536" customFormat="1">
      <c r="B128" s="536" t="s">
        <v>876</v>
      </c>
      <c r="C128" s="540">
        <f>C126*(1-C127)</f>
        <v>14738.15</v>
      </c>
      <c r="D128" s="540">
        <f t="shared" ref="D128:F128" si="392">D126*(1-D127)</f>
        <v>17010.2</v>
      </c>
      <c r="E128" s="540">
        <f t="shared" si="392"/>
        <v>20479.025906557821</v>
      </c>
      <c r="F128" s="540">
        <f t="shared" si="392"/>
        <v>24647.45</v>
      </c>
      <c r="G128" s="540">
        <f>G126*(1-G127)</f>
        <v>25545.756298688037</v>
      </c>
      <c r="H128" s="540">
        <f t="shared" ref="H128:V128" si="393">H126*(1-H127)</f>
        <v>33771.338270688597</v>
      </c>
      <c r="I128" s="540">
        <f t="shared" si="393"/>
        <v>39734.255430623387</v>
      </c>
      <c r="J128" s="540">
        <f t="shared" si="393"/>
        <v>43190.07260880003</v>
      </c>
      <c r="K128" s="540">
        <f t="shared" si="393"/>
        <v>46543.45</v>
      </c>
      <c r="L128" s="540">
        <f t="shared" si="393"/>
        <v>49049.25</v>
      </c>
      <c r="M128" s="540">
        <f t="shared" si="393"/>
        <v>54038.75</v>
      </c>
      <c r="N128" s="540">
        <f t="shared" si="393"/>
        <v>63034.299999999996</v>
      </c>
      <c r="O128" s="540">
        <f t="shared" si="393"/>
        <v>66495.550298844246</v>
      </c>
      <c r="P128" s="540">
        <f t="shared" si="393"/>
        <v>74582.399999999994</v>
      </c>
      <c r="Q128" s="540">
        <f t="shared" si="393"/>
        <v>79075.9147264411</v>
      </c>
      <c r="R128" s="540">
        <f t="shared" si="393"/>
        <v>79906.8</v>
      </c>
      <c r="S128" s="540">
        <f t="shared" si="393"/>
        <v>85784.55</v>
      </c>
      <c r="T128" s="540">
        <f t="shared" si="393"/>
        <v>84410.580896083236</v>
      </c>
      <c r="U128" s="540">
        <f t="shared" si="393"/>
        <v>84744.693148201419</v>
      </c>
      <c r="V128" s="540">
        <f t="shared" si="393"/>
        <v>80880.019171608801</v>
      </c>
      <c r="W128" s="540">
        <f t="shared" ref="W128:X128" si="394">W126*(1-W127)</f>
        <v>79934.849999999991</v>
      </c>
      <c r="X128" s="540">
        <f t="shared" si="394"/>
        <v>93677.65</v>
      </c>
      <c r="Y128" s="540"/>
      <c r="Z128" s="540"/>
    </row>
    <row r="130" spans="2:26">
      <c r="B130" s="536" t="s">
        <v>877</v>
      </c>
    </row>
    <row r="131" spans="2:26">
      <c r="B131" s="561" t="s">
        <v>259</v>
      </c>
      <c r="G131" s="538">
        <f>'Reported Group Balance Sheet'!AL42</f>
        <v>3521345</v>
      </c>
      <c r="H131" s="538">
        <f>'Reported Group Balance Sheet'!AM42</f>
        <v>3403193</v>
      </c>
      <c r="I131" s="538">
        <f>'Reported Group Balance Sheet'!AN42</f>
        <v>3344480</v>
      </c>
      <c r="J131" s="538">
        <f>'Reported Group Balance Sheet'!AO42</f>
        <v>3460278</v>
      </c>
      <c r="K131" s="538">
        <f>'Reported Group Balance Sheet'!AP42</f>
        <v>3558593</v>
      </c>
      <c r="L131" s="538">
        <f>'Reported Group Balance Sheet'!AQ42</f>
        <v>3658360</v>
      </c>
      <c r="M131" s="538">
        <f>'Reported Group Balance Sheet'!AR42</f>
        <v>3621940</v>
      </c>
      <c r="N131" s="538">
        <f>'Reported Group Balance Sheet'!AS42</f>
        <v>3636560</v>
      </c>
      <c r="O131" s="538">
        <f>'Reported Group Balance Sheet'!AT42</f>
        <v>3753160</v>
      </c>
      <c r="P131" s="538">
        <f>'Reported Group Balance Sheet'!AU42</f>
        <v>4243886</v>
      </c>
      <c r="Q131" s="538">
        <f>'Reported Group Balance Sheet'!AV42</f>
        <v>4378397</v>
      </c>
      <c r="R131" s="538">
        <f>'Reported Group Balance Sheet'!AW42</f>
        <v>4466332</v>
      </c>
      <c r="S131" s="538">
        <f>'Reported Group Balance Sheet'!AX42</f>
        <v>4466002</v>
      </c>
      <c r="T131" s="538">
        <f>'Reported Group Balance Sheet'!AY42</f>
        <v>4420961</v>
      </c>
      <c r="U131" s="538">
        <f>'Reported Group Balance Sheet'!AZ42</f>
        <v>4456927</v>
      </c>
      <c r="V131" s="538">
        <f>'Reported Group Balance Sheet'!BA42</f>
        <v>4445309.7360575199</v>
      </c>
      <c r="W131" s="538">
        <f>'Reported Group Balance Sheet'!BB42</f>
        <v>4450907</v>
      </c>
      <c r="X131" s="538">
        <f>'Reported Group Balance Sheet'!BC42</f>
        <v>4609821</v>
      </c>
      <c r="Y131" s="538"/>
      <c r="Z131" s="538"/>
    </row>
    <row r="132" spans="2:26">
      <c r="B132" s="561" t="s">
        <v>274</v>
      </c>
      <c r="G132" s="538">
        <f>-'Reported Group Balance Sheet'!AL82</f>
        <v>-1452408</v>
      </c>
      <c r="H132" s="538">
        <f>-'Reported Group Balance Sheet'!AM82</f>
        <v>-1108390.8930019999</v>
      </c>
      <c r="I132" s="538">
        <f>-'Reported Group Balance Sheet'!AN82</f>
        <v>-1117737.1801109998</v>
      </c>
      <c r="J132" s="538">
        <f>-'Reported Group Balance Sheet'!AO82</f>
        <v>-1116359.033267</v>
      </c>
      <c r="K132" s="538">
        <f>-'Reported Group Balance Sheet'!AP82</f>
        <v>-1097343.459642</v>
      </c>
      <c r="L132" s="538">
        <f>-'Reported Group Balance Sheet'!AQ82</f>
        <v>-1072038.250429</v>
      </c>
      <c r="M132" s="538">
        <f>-'Reported Group Balance Sheet'!AR82</f>
        <v>-1085941.0715950001</v>
      </c>
      <c r="N132" s="538">
        <f>-'Reported Group Balance Sheet'!AS82</f>
        <v>-1140260</v>
      </c>
      <c r="O132" s="538">
        <f>-'Reported Group Balance Sheet'!AT82</f>
        <v>-1145703.149803</v>
      </c>
      <c r="P132" s="538">
        <f>-'Reported Group Balance Sheet'!AU82</f>
        <v>-1167187.3418159999</v>
      </c>
      <c r="Q132" s="538">
        <f>-'Reported Group Balance Sheet'!AV82</f>
        <v>-1229451.512234</v>
      </c>
      <c r="R132" s="538">
        <f>-'Reported Group Balance Sheet'!AW82</f>
        <v>-1219637.608823</v>
      </c>
      <c r="S132" s="538">
        <f>-'Reported Group Balance Sheet'!AX82</f>
        <v>-1247334.636811259</v>
      </c>
      <c r="T132" s="538">
        <f>-'Reported Group Balance Sheet'!AY82</f>
        <v>-1315907.6592126209</v>
      </c>
      <c r="U132" s="538">
        <f>-'Reported Group Balance Sheet'!AZ82</f>
        <v>-1333210</v>
      </c>
      <c r="V132" s="538">
        <f>-'Reported Group Balance Sheet'!BA82</f>
        <v>-1386677.9985450001</v>
      </c>
      <c r="W132" s="538">
        <f>-'Reported Group Balance Sheet'!BB82</f>
        <v>-1439251</v>
      </c>
      <c r="X132" s="538">
        <f>-'Reported Group Balance Sheet'!BC82</f>
        <v>-1541618.5785910001</v>
      </c>
      <c r="Y132" s="538"/>
      <c r="Z132" s="538"/>
    </row>
    <row r="133" spans="2:26">
      <c r="B133" s="561" t="s">
        <v>878</v>
      </c>
      <c r="G133" s="538">
        <f>'Reported Group Balance Sheet'!AL70</f>
        <v>376055</v>
      </c>
      <c r="H133" s="538">
        <f>'Reported Group Balance Sheet'!AM70</f>
        <v>313203</v>
      </c>
      <c r="I133" s="538">
        <f>'Reported Group Balance Sheet'!AN70</f>
        <v>317646</v>
      </c>
      <c r="J133" s="538">
        <f>'Reported Group Balance Sheet'!AO70</f>
        <v>271163</v>
      </c>
      <c r="K133" s="538">
        <f>'Reported Group Balance Sheet'!AP70</f>
        <v>195249</v>
      </c>
      <c r="L133" s="538">
        <f>'Reported Group Balance Sheet'!AQ70</f>
        <v>240899</v>
      </c>
      <c r="M133" s="538">
        <f>'Reported Group Balance Sheet'!AR70</f>
        <v>235054</v>
      </c>
      <c r="N133" s="538">
        <f>'Reported Group Balance Sheet'!AS70</f>
        <v>270867</v>
      </c>
      <c r="O133" s="538">
        <f>'Reported Group Balance Sheet'!AT70</f>
        <v>249192</v>
      </c>
      <c r="P133" s="538">
        <f>'Reported Group Balance Sheet'!AU70</f>
        <v>261202</v>
      </c>
      <c r="Q133" s="538">
        <f>'Reported Group Balance Sheet'!AV70</f>
        <v>262763</v>
      </c>
      <c r="R133" s="538">
        <f>'Reported Group Balance Sheet'!AW70</f>
        <v>236222</v>
      </c>
      <c r="S133" s="538">
        <f>'Reported Group Balance Sheet'!AX70</f>
        <v>225645</v>
      </c>
      <c r="T133" s="538">
        <f>'Reported Group Balance Sheet'!AY70</f>
        <v>260873</v>
      </c>
      <c r="U133" s="538">
        <f>'Reported Group Balance Sheet'!AZ70</f>
        <v>262083</v>
      </c>
      <c r="V133" s="538">
        <f>'Reported Group Balance Sheet'!BA70</f>
        <v>307026</v>
      </c>
      <c r="W133" s="538">
        <f>'Reported Group Balance Sheet'!BB70</f>
        <v>361515</v>
      </c>
      <c r="X133" s="538">
        <f>'Reported Group Balance Sheet'!BC70</f>
        <v>394228</v>
      </c>
      <c r="Y133" s="538"/>
      <c r="Z133" s="538"/>
    </row>
    <row r="134" spans="2:26" s="536" customFormat="1">
      <c r="B134" s="536" t="s">
        <v>877</v>
      </c>
      <c r="G134" s="540">
        <f>SUM(G131:G133)</f>
        <v>2444992</v>
      </c>
      <c r="H134" s="540">
        <f t="shared" ref="H134:V134" si="395">SUM(H131:H133)</f>
        <v>2608005.1069980003</v>
      </c>
      <c r="I134" s="540">
        <f t="shared" si="395"/>
        <v>2544388.8198890002</v>
      </c>
      <c r="J134" s="540">
        <f t="shared" si="395"/>
        <v>2615081.9667330002</v>
      </c>
      <c r="K134" s="540">
        <f t="shared" si="395"/>
        <v>2656498.540358</v>
      </c>
      <c r="L134" s="540">
        <f t="shared" si="395"/>
        <v>2827220.7495710002</v>
      </c>
      <c r="M134" s="540">
        <f t="shared" si="395"/>
        <v>2771052.9284049999</v>
      </c>
      <c r="N134" s="540">
        <f t="shared" si="395"/>
        <v>2767167</v>
      </c>
      <c r="O134" s="540">
        <f t="shared" si="395"/>
        <v>2856648.850197</v>
      </c>
      <c r="P134" s="540">
        <f t="shared" si="395"/>
        <v>3337900.6581840003</v>
      </c>
      <c r="Q134" s="540">
        <f t="shared" si="395"/>
        <v>3411708.487766</v>
      </c>
      <c r="R134" s="540">
        <f t="shared" si="395"/>
        <v>3482916.391177</v>
      </c>
      <c r="S134" s="540">
        <f t="shared" si="395"/>
        <v>3444312.3631887408</v>
      </c>
      <c r="T134" s="540">
        <f t="shared" si="395"/>
        <v>3365926.3407873791</v>
      </c>
      <c r="U134" s="540">
        <f t="shared" si="395"/>
        <v>3385800</v>
      </c>
      <c r="V134" s="540">
        <f t="shared" si="395"/>
        <v>3365657.7375125196</v>
      </c>
      <c r="W134" s="540">
        <f t="shared" ref="W134:X134" si="396">SUM(W131:W133)</f>
        <v>3373171</v>
      </c>
      <c r="X134" s="540">
        <f t="shared" si="396"/>
        <v>3462430.4214089997</v>
      </c>
      <c r="Y134" s="540"/>
      <c r="Z134" s="540"/>
    </row>
    <row r="136" spans="2:26" ht="14.7" thickBot="1">
      <c r="B136" s="573" t="s">
        <v>879</v>
      </c>
      <c r="C136" s="574"/>
      <c r="D136" s="574"/>
      <c r="E136" s="574"/>
      <c r="F136" s="574"/>
      <c r="G136" s="575">
        <f>SUM(D128:G128)/G134</f>
        <v>3.5862052802318314E-2</v>
      </c>
      <c r="H136" s="575">
        <f t="shared" ref="H136:X136" si="397">SUM(E128:H128)/H134</f>
        <v>4.0047302896640581E-2</v>
      </c>
      <c r="I136" s="575">
        <f t="shared" si="397"/>
        <v>4.8616311718189524E-2</v>
      </c>
      <c r="J136" s="575">
        <f t="shared" si="397"/>
        <v>5.4392720541184818E-2</v>
      </c>
      <c r="K136" s="575">
        <f t="shared" si="397"/>
        <v>6.1448976474164849E-2</v>
      </c>
      <c r="L136" s="575">
        <f t="shared" si="397"/>
        <v>6.3142231842529942E-2</v>
      </c>
      <c r="M136" s="575">
        <f t="shared" si="397"/>
        <v>6.9584207732829861E-2</v>
      </c>
      <c r="N136" s="575">
        <f t="shared" si="397"/>
        <v>7.6853240155003291E-2</v>
      </c>
      <c r="O136" s="575">
        <f t="shared" si="397"/>
        <v>8.1430327106113323E-2</v>
      </c>
      <c r="P136" s="575">
        <f t="shared" si="397"/>
        <v>7.7339329936587278E-2</v>
      </c>
      <c r="Q136" s="575">
        <f t="shared" si="397"/>
        <v>8.3004795409914414E-2</v>
      </c>
      <c r="R136" s="575">
        <f t="shared" si="397"/>
        <v>8.6152129802887473E-2</v>
      </c>
      <c r="S136" s="575">
        <f t="shared" si="397"/>
        <v>9.2717974170840739E-2</v>
      </c>
      <c r="T136" s="575">
        <f t="shared" si="397"/>
        <v>9.7797103172947333E-2</v>
      </c>
      <c r="U136" s="575">
        <f t="shared" si="397"/>
        <v>9.8897343033931329E-2</v>
      </c>
      <c r="V136" s="575">
        <f t="shared" si="397"/>
        <v>9.9778370056157348E-2</v>
      </c>
      <c r="W136" s="575">
        <f t="shared" si="397"/>
        <v>9.7821943570573042E-2</v>
      </c>
      <c r="X136" s="575">
        <f t="shared" si="397"/>
        <v>9.7976614987619351E-2</v>
      </c>
      <c r="Y136" s="577"/>
      <c r="Z136" s="577"/>
    </row>
    <row r="137" spans="2:26" ht="14.7" thickTop="1"/>
    <row r="138" spans="2:26">
      <c r="B138" s="536" t="s">
        <v>881</v>
      </c>
    </row>
    <row r="139" spans="2:26">
      <c r="B139" s="537" t="s">
        <v>880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E7E26-BC8E-400C-A2BF-4EB26A09E35C}">
  <dimension ref="A1:G113"/>
  <sheetViews>
    <sheetView zoomScale="70" zoomScaleNormal="70" workbookViewId="0">
      <pane ySplit="1" topLeftCell="A4" activePane="bottomLeft" state="frozen"/>
      <selection pane="bottomLeft" activeCell="AM98" sqref="AM98"/>
    </sheetView>
  </sheetViews>
  <sheetFormatPr defaultRowHeight="14.35"/>
  <cols>
    <col min="1" max="1" width="10.234375" bestFit="1" customWidth="1"/>
    <col min="2" max="2" width="9.234375" customWidth="1"/>
    <col min="3" max="3" width="12.234375" bestFit="1" customWidth="1"/>
    <col min="4" max="5" width="9.234375" customWidth="1"/>
  </cols>
  <sheetData>
    <row r="1" spans="1:7">
      <c r="A1" s="304" t="s">
        <v>619</v>
      </c>
      <c r="B1" s="305" t="s">
        <v>620</v>
      </c>
      <c r="C1" s="305" t="s">
        <v>621</v>
      </c>
      <c r="D1" s="306" t="s">
        <v>622</v>
      </c>
      <c r="E1" s="307"/>
      <c r="F1" s="307"/>
      <c r="G1" s="307"/>
    </row>
    <row r="2" spans="1:7">
      <c r="A2" s="308" t="s">
        <v>623</v>
      </c>
      <c r="B2" s="309">
        <v>1</v>
      </c>
      <c r="C2" s="310">
        <v>40999</v>
      </c>
      <c r="D2" s="307" t="str">
        <f>A2</f>
        <v>1Q12</v>
      </c>
      <c r="E2" s="307"/>
      <c r="F2" s="307"/>
      <c r="G2" s="307"/>
    </row>
    <row r="3" spans="1:7">
      <c r="A3" s="308" t="s">
        <v>624</v>
      </c>
      <c r="B3" s="309">
        <v>2</v>
      </c>
      <c r="C3" s="310">
        <v>41090</v>
      </c>
      <c r="D3" s="307" t="str">
        <f t="shared" ref="D3:D66" si="0">A3</f>
        <v>2Q12</v>
      </c>
      <c r="E3" s="311"/>
      <c r="F3" s="311"/>
      <c r="G3" s="311"/>
    </row>
    <row r="4" spans="1:7">
      <c r="A4" s="308" t="s">
        <v>625</v>
      </c>
      <c r="B4" s="309">
        <v>3</v>
      </c>
      <c r="C4" s="310">
        <v>41182</v>
      </c>
      <c r="D4" s="307" t="str">
        <f t="shared" si="0"/>
        <v>3Q12</v>
      </c>
      <c r="E4" s="311"/>
      <c r="F4" s="311"/>
      <c r="G4" s="311"/>
    </row>
    <row r="5" spans="1:7">
      <c r="A5" s="308" t="s">
        <v>626</v>
      </c>
      <c r="B5" s="309">
        <v>4</v>
      </c>
      <c r="C5" s="310">
        <v>41274</v>
      </c>
      <c r="D5" s="307" t="str">
        <f t="shared" si="0"/>
        <v>4Q12</v>
      </c>
      <c r="E5" s="311"/>
      <c r="F5" s="311"/>
      <c r="G5" s="311"/>
    </row>
    <row r="6" spans="1:7">
      <c r="A6" s="308" t="s">
        <v>627</v>
      </c>
      <c r="B6" s="309">
        <v>5</v>
      </c>
      <c r="C6" s="310">
        <v>41364</v>
      </c>
      <c r="D6" s="307" t="str">
        <f t="shared" si="0"/>
        <v>1Q13</v>
      </c>
      <c r="E6" s="311"/>
      <c r="F6" s="311"/>
      <c r="G6" s="311"/>
    </row>
    <row r="7" spans="1:7">
      <c r="A7" s="308" t="s">
        <v>628</v>
      </c>
      <c r="B7" s="309">
        <v>6</v>
      </c>
      <c r="C7" s="310">
        <v>41455</v>
      </c>
      <c r="D7" s="307" t="str">
        <f t="shared" si="0"/>
        <v>2Q13</v>
      </c>
      <c r="E7" s="311"/>
      <c r="F7" s="307"/>
      <c r="G7" s="307"/>
    </row>
    <row r="8" spans="1:7">
      <c r="A8" s="308" t="s">
        <v>629</v>
      </c>
      <c r="B8" s="309">
        <v>7</v>
      </c>
      <c r="C8" s="310">
        <v>41547</v>
      </c>
      <c r="D8" s="307" t="str">
        <f t="shared" si="0"/>
        <v>3Q13</v>
      </c>
      <c r="E8" s="311"/>
      <c r="F8" s="307"/>
      <c r="G8" s="307"/>
    </row>
    <row r="9" spans="1:7">
      <c r="A9" s="308" t="s">
        <v>630</v>
      </c>
      <c r="B9" s="309">
        <v>8</v>
      </c>
      <c r="C9" s="310">
        <v>41639</v>
      </c>
      <c r="D9" s="307" t="str">
        <f t="shared" si="0"/>
        <v>4Q13</v>
      </c>
      <c r="E9" s="311"/>
    </row>
    <row r="10" spans="1:7">
      <c r="A10" s="308" t="s">
        <v>631</v>
      </c>
      <c r="B10" s="309">
        <v>9</v>
      </c>
      <c r="C10" s="310">
        <v>41729</v>
      </c>
      <c r="D10" s="307" t="str">
        <f t="shared" si="0"/>
        <v>1Q14</v>
      </c>
      <c r="E10" s="311"/>
    </row>
    <row r="11" spans="1:7">
      <c r="A11" s="308" t="s">
        <v>632</v>
      </c>
      <c r="B11" s="309">
        <v>10</v>
      </c>
      <c r="C11" s="310">
        <v>41820</v>
      </c>
      <c r="D11" s="307" t="str">
        <f t="shared" si="0"/>
        <v>2Q14</v>
      </c>
      <c r="E11" s="311"/>
    </row>
    <row r="12" spans="1:7">
      <c r="A12" s="308" t="s">
        <v>633</v>
      </c>
      <c r="B12" s="309">
        <v>11</v>
      </c>
      <c r="C12" s="310">
        <v>41912</v>
      </c>
      <c r="D12" s="307" t="str">
        <f t="shared" si="0"/>
        <v>3Q14</v>
      </c>
      <c r="E12" s="311"/>
    </row>
    <row r="13" spans="1:7">
      <c r="A13" s="308" t="s">
        <v>634</v>
      </c>
      <c r="B13" s="309">
        <v>12</v>
      </c>
      <c r="C13" s="310">
        <v>42004</v>
      </c>
      <c r="D13" s="307" t="str">
        <f t="shared" si="0"/>
        <v>4Q14</v>
      </c>
      <c r="E13" s="311"/>
    </row>
    <row r="14" spans="1:7">
      <c r="A14" s="308" t="s">
        <v>635</v>
      </c>
      <c r="B14" s="309">
        <v>13</v>
      </c>
      <c r="C14" s="310">
        <v>42094</v>
      </c>
      <c r="D14" s="307" t="str">
        <f t="shared" si="0"/>
        <v>1Q15</v>
      </c>
      <c r="E14" s="311"/>
    </row>
    <row r="15" spans="1:7">
      <c r="A15" s="308" t="s">
        <v>636</v>
      </c>
      <c r="B15" s="309">
        <v>14</v>
      </c>
      <c r="C15" s="310">
        <v>42185</v>
      </c>
      <c r="D15" s="307" t="str">
        <f t="shared" si="0"/>
        <v>2Q15</v>
      </c>
      <c r="E15" s="311"/>
    </row>
    <row r="16" spans="1:7">
      <c r="A16" s="308" t="s">
        <v>637</v>
      </c>
      <c r="B16" s="309">
        <v>15</v>
      </c>
      <c r="C16" s="310">
        <v>42277</v>
      </c>
      <c r="D16" s="307" t="str">
        <f t="shared" si="0"/>
        <v>3Q15</v>
      </c>
      <c r="E16" s="311"/>
    </row>
    <row r="17" spans="1:7">
      <c r="A17" s="308" t="s">
        <v>638</v>
      </c>
      <c r="B17" s="309">
        <v>16</v>
      </c>
      <c r="C17" s="310">
        <v>42369</v>
      </c>
      <c r="D17" s="307" t="str">
        <f t="shared" si="0"/>
        <v>4Q15</v>
      </c>
      <c r="E17" s="311"/>
    </row>
    <row r="18" spans="1:7">
      <c r="A18" s="308" t="s">
        <v>639</v>
      </c>
      <c r="B18" s="309">
        <v>17</v>
      </c>
      <c r="C18" s="310">
        <v>42460</v>
      </c>
      <c r="D18" s="307" t="str">
        <f t="shared" si="0"/>
        <v>1Q16</v>
      </c>
      <c r="E18" s="311"/>
    </row>
    <row r="19" spans="1:7">
      <c r="A19" s="308" t="s">
        <v>640</v>
      </c>
      <c r="B19" s="309">
        <v>18</v>
      </c>
      <c r="C19" s="310">
        <v>42551</v>
      </c>
      <c r="D19" s="307" t="str">
        <f t="shared" si="0"/>
        <v>2Q16</v>
      </c>
      <c r="E19" s="311"/>
    </row>
    <row r="20" spans="1:7">
      <c r="A20" s="308" t="s">
        <v>641</v>
      </c>
      <c r="B20" s="309">
        <v>19</v>
      </c>
      <c r="C20" s="310">
        <v>42643</v>
      </c>
      <c r="D20" s="307" t="str">
        <f t="shared" si="0"/>
        <v>3Q16</v>
      </c>
      <c r="E20" s="311"/>
    </row>
    <row r="21" spans="1:7">
      <c r="A21" s="308" t="s">
        <v>642</v>
      </c>
      <c r="B21" s="309">
        <v>20</v>
      </c>
      <c r="C21" s="310">
        <v>42735</v>
      </c>
      <c r="D21" s="307" t="str">
        <f t="shared" si="0"/>
        <v>4Q16</v>
      </c>
      <c r="E21" s="311"/>
    </row>
    <row r="22" spans="1:7">
      <c r="A22" s="308" t="s">
        <v>643</v>
      </c>
      <c r="B22" s="309">
        <v>21</v>
      </c>
      <c r="C22" s="310">
        <v>42825</v>
      </c>
      <c r="D22" s="307" t="str">
        <f t="shared" si="0"/>
        <v>1Q17</v>
      </c>
      <c r="E22" s="311"/>
    </row>
    <row r="23" spans="1:7">
      <c r="A23" s="308" t="s">
        <v>644</v>
      </c>
      <c r="B23" s="309">
        <v>22</v>
      </c>
      <c r="C23" s="310">
        <v>42916</v>
      </c>
      <c r="D23" s="307" t="str">
        <f t="shared" si="0"/>
        <v>2Q17</v>
      </c>
    </row>
    <row r="24" spans="1:7">
      <c r="A24" s="308" t="s">
        <v>645</v>
      </c>
      <c r="B24" s="309">
        <v>23</v>
      </c>
      <c r="C24" s="310">
        <v>43008</v>
      </c>
      <c r="D24" s="307" t="str">
        <f t="shared" si="0"/>
        <v>3Q17</v>
      </c>
    </row>
    <row r="25" spans="1:7">
      <c r="A25" s="308" t="s">
        <v>646</v>
      </c>
      <c r="B25" s="309">
        <v>24</v>
      </c>
      <c r="C25" s="310">
        <v>43100</v>
      </c>
      <c r="D25" s="307" t="str">
        <f t="shared" si="0"/>
        <v>4Q17</v>
      </c>
      <c r="E25" s="307"/>
      <c r="F25" s="307"/>
      <c r="G25" s="307"/>
    </row>
    <row r="26" spans="1:7">
      <c r="A26" s="308" t="s">
        <v>647</v>
      </c>
      <c r="B26" s="309">
        <v>25</v>
      </c>
      <c r="C26" s="310">
        <v>43190</v>
      </c>
      <c r="D26" s="307" t="str">
        <f t="shared" si="0"/>
        <v>1Q18</v>
      </c>
    </row>
    <row r="27" spans="1:7">
      <c r="A27" s="308" t="s">
        <v>648</v>
      </c>
      <c r="B27" s="309">
        <v>26</v>
      </c>
      <c r="C27" s="310">
        <v>43281</v>
      </c>
      <c r="D27" s="307" t="str">
        <f t="shared" si="0"/>
        <v>2Q18</v>
      </c>
    </row>
    <row r="28" spans="1:7">
      <c r="A28" s="308" t="s">
        <v>649</v>
      </c>
      <c r="B28" s="309">
        <v>27</v>
      </c>
      <c r="C28" s="310">
        <v>43373</v>
      </c>
      <c r="D28" s="307" t="str">
        <f t="shared" si="0"/>
        <v>3Q18</v>
      </c>
    </row>
    <row r="29" spans="1:7">
      <c r="A29" s="308" t="s">
        <v>650</v>
      </c>
      <c r="B29" s="309">
        <v>28</v>
      </c>
      <c r="C29" s="310">
        <v>43465</v>
      </c>
      <c r="D29" s="307" t="str">
        <f t="shared" si="0"/>
        <v>4Q18</v>
      </c>
    </row>
    <row r="30" spans="1:7">
      <c r="A30" s="308" t="s">
        <v>651</v>
      </c>
      <c r="B30" s="309">
        <v>29</v>
      </c>
      <c r="C30" s="310">
        <v>43555</v>
      </c>
      <c r="D30" s="307" t="str">
        <f t="shared" si="0"/>
        <v>1Q19</v>
      </c>
      <c r="E30" s="307"/>
      <c r="F30" s="307"/>
      <c r="G30" s="307"/>
    </row>
    <row r="31" spans="1:7">
      <c r="A31" s="308" t="s">
        <v>652</v>
      </c>
      <c r="B31" s="309">
        <v>30</v>
      </c>
      <c r="C31" s="310">
        <v>43646</v>
      </c>
      <c r="D31" s="307" t="str">
        <f t="shared" si="0"/>
        <v>2Q19</v>
      </c>
      <c r="E31" s="307"/>
      <c r="F31" s="307"/>
      <c r="G31" s="307"/>
    </row>
    <row r="32" spans="1:7">
      <c r="A32" s="308" t="s">
        <v>653</v>
      </c>
      <c r="B32" s="309">
        <v>31</v>
      </c>
      <c r="C32" s="310">
        <v>43738</v>
      </c>
      <c r="D32" s="307" t="str">
        <f t="shared" si="0"/>
        <v>3Q19</v>
      </c>
      <c r="E32" s="307"/>
      <c r="F32" s="307"/>
      <c r="G32" s="307"/>
    </row>
    <row r="33" spans="1:7">
      <c r="A33" s="308" t="s">
        <v>654</v>
      </c>
      <c r="B33" s="309">
        <v>32</v>
      </c>
      <c r="C33" s="310">
        <v>43830</v>
      </c>
      <c r="D33" s="307" t="str">
        <f t="shared" si="0"/>
        <v>4Q19</v>
      </c>
      <c r="E33" s="307"/>
      <c r="F33" s="307"/>
      <c r="G33" s="307"/>
    </row>
    <row r="34" spans="1:7">
      <c r="A34" s="308" t="s">
        <v>655</v>
      </c>
      <c r="B34" s="309">
        <v>33</v>
      </c>
      <c r="C34" s="310">
        <v>43921</v>
      </c>
      <c r="D34" s="307" t="str">
        <f t="shared" si="0"/>
        <v>1Q20</v>
      </c>
      <c r="E34" s="307"/>
      <c r="F34" s="307"/>
      <c r="G34" s="307"/>
    </row>
    <row r="35" spans="1:7">
      <c r="A35" s="308" t="s">
        <v>656</v>
      </c>
      <c r="B35" s="309">
        <v>34</v>
      </c>
      <c r="C35" s="310">
        <v>44012</v>
      </c>
      <c r="D35" s="307" t="str">
        <f t="shared" si="0"/>
        <v>2Q20</v>
      </c>
      <c r="E35" s="307"/>
      <c r="F35" s="307"/>
      <c r="G35" s="307"/>
    </row>
    <row r="36" spans="1:7">
      <c r="A36" s="308" t="s">
        <v>657</v>
      </c>
      <c r="B36" s="309">
        <v>35</v>
      </c>
      <c r="C36" s="310">
        <v>44104</v>
      </c>
      <c r="D36" s="307" t="str">
        <f t="shared" si="0"/>
        <v>3Q20</v>
      </c>
      <c r="E36" s="307"/>
      <c r="F36" s="307"/>
      <c r="G36" s="307"/>
    </row>
    <row r="37" spans="1:7">
      <c r="A37" s="308" t="s">
        <v>658</v>
      </c>
      <c r="B37" s="309">
        <v>36</v>
      </c>
      <c r="C37" s="310">
        <v>44196</v>
      </c>
      <c r="D37" s="307" t="str">
        <f t="shared" si="0"/>
        <v>4Q20</v>
      </c>
      <c r="E37" s="307"/>
      <c r="F37" s="307"/>
      <c r="G37" s="307"/>
    </row>
    <row r="38" spans="1:7">
      <c r="A38" s="308" t="s">
        <v>659</v>
      </c>
      <c r="B38" s="309">
        <v>37</v>
      </c>
      <c r="C38" s="310">
        <v>44286</v>
      </c>
      <c r="D38" s="307" t="str">
        <f t="shared" si="0"/>
        <v>1Q21</v>
      </c>
      <c r="E38" s="307"/>
      <c r="F38" s="307"/>
      <c r="G38" s="307"/>
    </row>
    <row r="39" spans="1:7">
      <c r="A39" s="308" t="s">
        <v>660</v>
      </c>
      <c r="B39" s="309">
        <v>38</v>
      </c>
      <c r="C39" s="310">
        <v>44377</v>
      </c>
      <c r="D39" s="307" t="str">
        <f t="shared" si="0"/>
        <v>2Q21</v>
      </c>
      <c r="E39" s="307"/>
      <c r="F39" s="307"/>
      <c r="G39" s="307"/>
    </row>
    <row r="40" spans="1:7">
      <c r="A40" s="308" t="s">
        <v>661</v>
      </c>
      <c r="B40" s="309">
        <v>39</v>
      </c>
      <c r="C40" s="310">
        <v>44469</v>
      </c>
      <c r="D40" s="307" t="str">
        <f t="shared" si="0"/>
        <v>3Q21</v>
      </c>
      <c r="E40" s="307"/>
      <c r="F40" s="307"/>
      <c r="G40" s="307"/>
    </row>
    <row r="41" spans="1:7">
      <c r="A41" s="308" t="s">
        <v>662</v>
      </c>
      <c r="B41" s="309">
        <v>40</v>
      </c>
      <c r="C41" s="310">
        <v>44561</v>
      </c>
      <c r="D41" s="307" t="str">
        <f t="shared" si="0"/>
        <v>4Q21</v>
      </c>
      <c r="E41" s="307"/>
      <c r="F41" s="307"/>
      <c r="G41" s="307"/>
    </row>
    <row r="42" spans="1:7">
      <c r="A42" s="308" t="s">
        <v>663</v>
      </c>
      <c r="B42" s="309">
        <v>41</v>
      </c>
      <c r="C42" s="310">
        <v>44651</v>
      </c>
      <c r="D42" s="307" t="str">
        <f t="shared" si="0"/>
        <v>1Q22</v>
      </c>
      <c r="E42" s="307"/>
      <c r="F42" s="307"/>
      <c r="G42" s="307"/>
    </row>
    <row r="43" spans="1:7">
      <c r="A43" s="308" t="s">
        <v>664</v>
      </c>
      <c r="B43" s="309">
        <v>42</v>
      </c>
      <c r="C43" s="310">
        <v>44742</v>
      </c>
      <c r="D43" s="307" t="str">
        <f t="shared" si="0"/>
        <v>2Q22</v>
      </c>
      <c r="E43" s="307"/>
      <c r="F43" s="307"/>
      <c r="G43" s="307"/>
    </row>
    <row r="44" spans="1:7">
      <c r="A44" s="308" t="s">
        <v>665</v>
      </c>
      <c r="B44" s="309">
        <v>43</v>
      </c>
      <c r="C44" s="310">
        <v>44834</v>
      </c>
      <c r="D44" s="307" t="str">
        <f t="shared" si="0"/>
        <v>3Q22</v>
      </c>
      <c r="E44" s="307"/>
      <c r="F44" s="307"/>
      <c r="G44" s="307"/>
    </row>
    <row r="45" spans="1:7">
      <c r="A45" s="308" t="s">
        <v>666</v>
      </c>
      <c r="B45" s="309">
        <v>44</v>
      </c>
      <c r="C45" s="310">
        <v>44926</v>
      </c>
      <c r="D45" s="307" t="str">
        <f t="shared" si="0"/>
        <v>4Q22</v>
      </c>
      <c r="E45" s="307"/>
      <c r="F45" s="307"/>
      <c r="G45" s="307"/>
    </row>
    <row r="46" spans="1:7">
      <c r="A46" s="308" t="s">
        <v>667</v>
      </c>
      <c r="B46" s="309">
        <v>45</v>
      </c>
      <c r="C46" s="310">
        <v>45016</v>
      </c>
      <c r="D46" s="307" t="str">
        <f t="shared" si="0"/>
        <v>1Q23</v>
      </c>
      <c r="E46" s="307"/>
      <c r="F46" s="307"/>
      <c r="G46" s="307"/>
    </row>
    <row r="47" spans="1:7">
      <c r="A47" s="308" t="s">
        <v>668</v>
      </c>
      <c r="B47" s="309">
        <v>46</v>
      </c>
      <c r="C47" s="310">
        <v>45107</v>
      </c>
      <c r="D47" s="307" t="str">
        <f t="shared" si="0"/>
        <v>2Q23</v>
      </c>
      <c r="E47" s="307"/>
      <c r="F47" s="307"/>
      <c r="G47" s="307"/>
    </row>
    <row r="48" spans="1:7">
      <c r="A48" s="308" t="s">
        <v>669</v>
      </c>
      <c r="B48" s="309">
        <v>47</v>
      </c>
      <c r="C48" s="310">
        <v>45199</v>
      </c>
      <c r="D48" s="307" t="str">
        <f t="shared" si="0"/>
        <v>3Q23</v>
      </c>
      <c r="E48" s="307"/>
      <c r="F48" s="307"/>
      <c r="G48" s="307"/>
    </row>
    <row r="49" spans="1:7">
      <c r="A49" s="308" t="s">
        <v>670</v>
      </c>
      <c r="B49" s="309">
        <v>48</v>
      </c>
      <c r="C49" s="310">
        <v>45291</v>
      </c>
      <c r="D49" s="307" t="str">
        <f t="shared" si="0"/>
        <v>4Q23</v>
      </c>
      <c r="E49" s="307"/>
      <c r="F49" s="307"/>
      <c r="G49" s="307"/>
    </row>
    <row r="50" spans="1:7">
      <c r="A50" s="308" t="s">
        <v>671</v>
      </c>
      <c r="B50" s="309">
        <v>49</v>
      </c>
      <c r="C50" s="310">
        <v>45382</v>
      </c>
      <c r="D50" s="307" t="str">
        <f t="shared" si="0"/>
        <v>1Q24</v>
      </c>
      <c r="E50" s="307"/>
      <c r="F50" s="307"/>
      <c r="G50" s="307"/>
    </row>
    <row r="51" spans="1:7">
      <c r="A51" s="308" t="s">
        <v>672</v>
      </c>
      <c r="B51" s="309">
        <v>50</v>
      </c>
      <c r="C51" s="310">
        <v>45473</v>
      </c>
      <c r="D51" s="307" t="str">
        <f t="shared" si="0"/>
        <v>2Q24</v>
      </c>
    </row>
    <row r="52" spans="1:7">
      <c r="A52" s="308" t="s">
        <v>673</v>
      </c>
      <c r="B52" s="309">
        <v>51</v>
      </c>
      <c r="C52" s="310">
        <v>45565</v>
      </c>
      <c r="D52" s="307" t="str">
        <f t="shared" si="0"/>
        <v>3Q24</v>
      </c>
    </row>
    <row r="53" spans="1:7">
      <c r="A53" s="308" t="s">
        <v>674</v>
      </c>
      <c r="B53" s="309">
        <v>52</v>
      </c>
      <c r="C53" s="310">
        <v>45657</v>
      </c>
      <c r="D53" s="307" t="str">
        <f t="shared" si="0"/>
        <v>4Q24</v>
      </c>
    </row>
    <row r="54" spans="1:7">
      <c r="A54" s="308" t="s">
        <v>675</v>
      </c>
      <c r="B54" s="309">
        <v>53</v>
      </c>
      <c r="C54" s="310">
        <v>45747</v>
      </c>
      <c r="D54" s="307" t="str">
        <f t="shared" si="0"/>
        <v>1Q25</v>
      </c>
    </row>
    <row r="55" spans="1:7">
      <c r="A55" s="308" t="s">
        <v>676</v>
      </c>
      <c r="B55" s="309">
        <v>54</v>
      </c>
      <c r="C55" s="310">
        <v>45838</v>
      </c>
      <c r="D55" s="307" t="str">
        <f t="shared" si="0"/>
        <v>2Q25</v>
      </c>
    </row>
    <row r="56" spans="1:7">
      <c r="A56" s="308" t="s">
        <v>677</v>
      </c>
      <c r="B56" s="309">
        <v>55</v>
      </c>
      <c r="C56" s="310">
        <v>45930</v>
      </c>
      <c r="D56" s="307" t="str">
        <f t="shared" si="0"/>
        <v>3Q25</v>
      </c>
    </row>
    <row r="57" spans="1:7">
      <c r="A57" s="308" t="s">
        <v>678</v>
      </c>
      <c r="B57" s="309">
        <v>56</v>
      </c>
      <c r="C57" s="310">
        <v>46022</v>
      </c>
      <c r="D57" s="307" t="str">
        <f t="shared" si="0"/>
        <v>4Q25</v>
      </c>
    </row>
    <row r="58" spans="1:7">
      <c r="A58" s="308" t="s">
        <v>679</v>
      </c>
      <c r="B58" s="309">
        <v>57</v>
      </c>
      <c r="C58" s="310">
        <v>46112</v>
      </c>
      <c r="D58" s="307" t="str">
        <f t="shared" si="0"/>
        <v>1Q26</v>
      </c>
    </row>
    <row r="59" spans="1:7">
      <c r="A59" s="308" t="s">
        <v>680</v>
      </c>
      <c r="B59" s="309">
        <v>58</v>
      </c>
      <c r="C59" s="310">
        <v>46203</v>
      </c>
      <c r="D59" s="307" t="str">
        <f t="shared" si="0"/>
        <v>2Q26</v>
      </c>
    </row>
    <row r="60" spans="1:7">
      <c r="A60" s="308" t="s">
        <v>681</v>
      </c>
      <c r="B60" s="309">
        <v>59</v>
      </c>
      <c r="C60" s="310">
        <v>46295</v>
      </c>
      <c r="D60" s="307" t="str">
        <f t="shared" si="0"/>
        <v>3Q26</v>
      </c>
    </row>
    <row r="61" spans="1:7">
      <c r="A61" s="308" t="s">
        <v>682</v>
      </c>
      <c r="B61" s="309">
        <v>60</v>
      </c>
      <c r="C61" s="310">
        <v>46387</v>
      </c>
      <c r="D61" s="307" t="str">
        <f t="shared" si="0"/>
        <v>4Q26</v>
      </c>
    </row>
    <row r="62" spans="1:7">
      <c r="A62" s="308" t="s">
        <v>683</v>
      </c>
      <c r="B62" s="309">
        <v>61</v>
      </c>
      <c r="C62" s="310">
        <v>46477</v>
      </c>
      <c r="D62" s="307" t="str">
        <f t="shared" si="0"/>
        <v>1Q27</v>
      </c>
    </row>
    <row r="63" spans="1:7">
      <c r="A63" s="308" t="s">
        <v>684</v>
      </c>
      <c r="B63" s="309">
        <v>62</v>
      </c>
      <c r="C63" s="310">
        <v>46568</v>
      </c>
      <c r="D63" s="307" t="str">
        <f t="shared" si="0"/>
        <v>2Q27</v>
      </c>
    </row>
    <row r="64" spans="1:7">
      <c r="A64" s="308" t="s">
        <v>685</v>
      </c>
      <c r="B64" s="309">
        <v>63</v>
      </c>
      <c r="C64" s="310">
        <v>46660</v>
      </c>
      <c r="D64" s="307" t="str">
        <f t="shared" si="0"/>
        <v>3Q27</v>
      </c>
    </row>
    <row r="65" spans="1:4">
      <c r="A65" s="308" t="s">
        <v>686</v>
      </c>
      <c r="B65" s="309">
        <v>64</v>
      </c>
      <c r="C65" s="310">
        <v>46752</v>
      </c>
      <c r="D65" s="307" t="str">
        <f t="shared" si="0"/>
        <v>4Q27</v>
      </c>
    </row>
    <row r="66" spans="1:4">
      <c r="A66" s="308" t="s">
        <v>687</v>
      </c>
      <c r="B66" s="309">
        <v>65</v>
      </c>
      <c r="C66" s="310">
        <v>46843</v>
      </c>
      <c r="D66" s="307" t="str">
        <f t="shared" si="0"/>
        <v>1Q28</v>
      </c>
    </row>
    <row r="67" spans="1:4">
      <c r="A67" s="308" t="s">
        <v>688</v>
      </c>
      <c r="B67" s="309">
        <v>66</v>
      </c>
      <c r="C67" s="310">
        <v>46934</v>
      </c>
      <c r="D67" s="307" t="str">
        <f t="shared" ref="D67:D93" si="1">A67</f>
        <v>2Q28</v>
      </c>
    </row>
    <row r="68" spans="1:4">
      <c r="A68" s="308" t="s">
        <v>689</v>
      </c>
      <c r="B68" s="309">
        <v>67</v>
      </c>
      <c r="C68" s="310">
        <v>47026</v>
      </c>
      <c r="D68" s="307" t="str">
        <f t="shared" si="1"/>
        <v>3Q28</v>
      </c>
    </row>
    <row r="69" spans="1:4">
      <c r="A69" s="308" t="s">
        <v>690</v>
      </c>
      <c r="B69" s="309">
        <v>68</v>
      </c>
      <c r="C69" s="310">
        <v>47118</v>
      </c>
      <c r="D69" s="307" t="str">
        <f t="shared" si="1"/>
        <v>4Q28</v>
      </c>
    </row>
    <row r="70" spans="1:4">
      <c r="A70" s="308" t="s">
        <v>691</v>
      </c>
      <c r="B70" s="309">
        <v>69</v>
      </c>
      <c r="C70" s="310">
        <v>47208</v>
      </c>
      <c r="D70" s="307" t="str">
        <f t="shared" si="1"/>
        <v>1Q29</v>
      </c>
    </row>
    <row r="71" spans="1:4">
      <c r="A71" s="308" t="s">
        <v>692</v>
      </c>
      <c r="B71" s="309">
        <v>70</v>
      </c>
      <c r="C71" s="310">
        <v>47299</v>
      </c>
      <c r="D71" s="307" t="str">
        <f t="shared" si="1"/>
        <v>2Q29</v>
      </c>
    </row>
    <row r="72" spans="1:4">
      <c r="A72" s="308" t="s">
        <v>693</v>
      </c>
      <c r="B72" s="309">
        <v>71</v>
      </c>
      <c r="C72" s="310">
        <v>47391</v>
      </c>
      <c r="D72" s="307" t="str">
        <f t="shared" si="1"/>
        <v>3Q29</v>
      </c>
    </row>
    <row r="73" spans="1:4">
      <c r="A73" s="308" t="s">
        <v>694</v>
      </c>
      <c r="B73" s="309">
        <v>72</v>
      </c>
      <c r="C73" s="310">
        <v>47483</v>
      </c>
      <c r="D73" s="307" t="str">
        <f t="shared" si="1"/>
        <v>4Q29</v>
      </c>
    </row>
    <row r="74" spans="1:4">
      <c r="A74" s="308" t="s">
        <v>695</v>
      </c>
      <c r="B74" s="309">
        <v>73</v>
      </c>
      <c r="C74" s="310">
        <v>47573</v>
      </c>
      <c r="D74" s="307" t="str">
        <f t="shared" si="1"/>
        <v>1Q30</v>
      </c>
    </row>
    <row r="75" spans="1:4">
      <c r="A75" s="308" t="s">
        <v>696</v>
      </c>
      <c r="B75" s="309">
        <v>74</v>
      </c>
      <c r="C75" s="310">
        <v>47664</v>
      </c>
      <c r="D75" s="307" t="str">
        <f t="shared" si="1"/>
        <v>2Q30</v>
      </c>
    </row>
    <row r="76" spans="1:4">
      <c r="A76" s="308" t="s">
        <v>697</v>
      </c>
      <c r="B76" s="309">
        <v>75</v>
      </c>
      <c r="C76" s="310">
        <v>47756</v>
      </c>
      <c r="D76" s="307" t="str">
        <f t="shared" si="1"/>
        <v>3Q30</v>
      </c>
    </row>
    <row r="77" spans="1:4">
      <c r="A77" s="308" t="s">
        <v>698</v>
      </c>
      <c r="B77" s="309">
        <v>76</v>
      </c>
      <c r="C77" s="310">
        <v>47848</v>
      </c>
      <c r="D77" s="307" t="str">
        <f t="shared" si="1"/>
        <v>4Q30</v>
      </c>
    </row>
    <row r="78" spans="1:4">
      <c r="A78" s="308" t="s">
        <v>699</v>
      </c>
      <c r="B78" s="309">
        <v>77</v>
      </c>
      <c r="C78" s="310">
        <v>47938</v>
      </c>
      <c r="D78" s="307" t="str">
        <f t="shared" si="1"/>
        <v>1Q31</v>
      </c>
    </row>
    <row r="79" spans="1:4">
      <c r="A79" s="308" t="s">
        <v>700</v>
      </c>
      <c r="B79" s="309">
        <v>78</v>
      </c>
      <c r="C79" s="310">
        <v>48029</v>
      </c>
      <c r="D79" s="307" t="str">
        <f t="shared" si="1"/>
        <v>2Q31</v>
      </c>
    </row>
    <row r="80" spans="1:4">
      <c r="A80" s="308" t="s">
        <v>701</v>
      </c>
      <c r="B80" s="309">
        <v>79</v>
      </c>
      <c r="C80" s="310">
        <v>48121</v>
      </c>
      <c r="D80" s="307" t="str">
        <f t="shared" si="1"/>
        <v>3Q31</v>
      </c>
    </row>
    <row r="81" spans="1:4">
      <c r="A81" s="308" t="s">
        <v>702</v>
      </c>
      <c r="B81" s="309">
        <v>80</v>
      </c>
      <c r="C81" s="310">
        <v>48213</v>
      </c>
      <c r="D81" s="307" t="str">
        <f t="shared" si="1"/>
        <v>4Q31</v>
      </c>
    </row>
    <row r="82" spans="1:4">
      <c r="A82" s="308" t="s">
        <v>703</v>
      </c>
      <c r="B82" s="309">
        <v>81</v>
      </c>
      <c r="C82" s="310">
        <v>48304</v>
      </c>
      <c r="D82" s="307" t="str">
        <f t="shared" si="1"/>
        <v>1Q32</v>
      </c>
    </row>
    <row r="83" spans="1:4">
      <c r="A83" s="308" t="s">
        <v>704</v>
      </c>
      <c r="B83" s="309">
        <v>82</v>
      </c>
      <c r="C83" s="310">
        <v>48395</v>
      </c>
      <c r="D83" s="307" t="str">
        <f t="shared" si="1"/>
        <v>2Q32</v>
      </c>
    </row>
    <row r="84" spans="1:4">
      <c r="A84" s="308" t="s">
        <v>705</v>
      </c>
      <c r="B84" s="309">
        <v>83</v>
      </c>
      <c r="C84" s="310">
        <v>48487</v>
      </c>
      <c r="D84" s="307" t="str">
        <f t="shared" si="1"/>
        <v>3Q32</v>
      </c>
    </row>
    <row r="85" spans="1:4">
      <c r="A85" s="308" t="s">
        <v>706</v>
      </c>
      <c r="B85" s="309">
        <v>84</v>
      </c>
      <c r="C85" s="310">
        <v>48579</v>
      </c>
      <c r="D85" s="307" t="str">
        <f t="shared" si="1"/>
        <v>4Q32</v>
      </c>
    </row>
    <row r="86" spans="1:4">
      <c r="A86" s="308" t="s">
        <v>707</v>
      </c>
      <c r="B86" s="309">
        <v>85</v>
      </c>
      <c r="C86" s="310">
        <v>48669</v>
      </c>
      <c r="D86" s="307" t="str">
        <f t="shared" si="1"/>
        <v>1Q33</v>
      </c>
    </row>
    <row r="87" spans="1:4">
      <c r="A87" s="308" t="s">
        <v>708</v>
      </c>
      <c r="B87" s="309">
        <v>86</v>
      </c>
      <c r="C87" s="310">
        <v>48760</v>
      </c>
      <c r="D87" s="307" t="str">
        <f t="shared" si="1"/>
        <v>2Q33</v>
      </c>
    </row>
    <row r="88" spans="1:4">
      <c r="A88" s="308" t="s">
        <v>709</v>
      </c>
      <c r="B88" s="309">
        <v>87</v>
      </c>
      <c r="C88" s="310">
        <v>48852</v>
      </c>
      <c r="D88" s="307" t="str">
        <f t="shared" si="1"/>
        <v>3Q33</v>
      </c>
    </row>
    <row r="89" spans="1:4">
      <c r="A89" s="308" t="s">
        <v>710</v>
      </c>
      <c r="B89" s="309">
        <v>88</v>
      </c>
      <c r="C89" s="310">
        <v>48944</v>
      </c>
      <c r="D89" s="307" t="str">
        <f t="shared" si="1"/>
        <v>4Q33</v>
      </c>
    </row>
    <row r="90" spans="1:4">
      <c r="A90" s="308" t="s">
        <v>711</v>
      </c>
      <c r="B90" s="309">
        <v>89</v>
      </c>
      <c r="C90" s="310">
        <v>49034</v>
      </c>
      <c r="D90" s="307" t="str">
        <f t="shared" si="1"/>
        <v>1Q34</v>
      </c>
    </row>
    <row r="91" spans="1:4">
      <c r="A91" s="308" t="s">
        <v>712</v>
      </c>
      <c r="B91" s="309">
        <v>90</v>
      </c>
      <c r="C91" s="310">
        <v>49125</v>
      </c>
      <c r="D91" s="307" t="str">
        <f t="shared" si="1"/>
        <v>2Q34</v>
      </c>
    </row>
    <row r="92" spans="1:4">
      <c r="A92" s="308" t="s">
        <v>713</v>
      </c>
      <c r="B92" s="309">
        <v>91</v>
      </c>
      <c r="C92" s="310">
        <v>49217</v>
      </c>
      <c r="D92" s="307" t="str">
        <f t="shared" si="1"/>
        <v>3Q34</v>
      </c>
    </row>
    <row r="93" spans="1:4">
      <c r="A93" s="308" t="s">
        <v>714</v>
      </c>
      <c r="B93" s="309">
        <v>92</v>
      </c>
      <c r="C93" s="310">
        <v>49309</v>
      </c>
      <c r="D93" s="307" t="str">
        <f t="shared" si="1"/>
        <v>4Q34</v>
      </c>
    </row>
    <row r="94" spans="1:4">
      <c r="A94" t="s">
        <v>715</v>
      </c>
      <c r="B94" s="307">
        <v>93</v>
      </c>
      <c r="C94" s="312">
        <v>49399</v>
      </c>
      <c r="D94" s="307" t="s">
        <v>716</v>
      </c>
    </row>
    <row r="95" spans="1:4">
      <c r="A95" t="s">
        <v>717</v>
      </c>
      <c r="B95" s="307">
        <v>94</v>
      </c>
      <c r="C95" s="312">
        <v>49490</v>
      </c>
      <c r="D95" s="307" t="s">
        <v>718</v>
      </c>
    </row>
    <row r="96" spans="1:4">
      <c r="A96" t="s">
        <v>719</v>
      </c>
      <c r="B96" s="307">
        <v>95</v>
      </c>
      <c r="C96" s="312">
        <v>49582</v>
      </c>
      <c r="D96" s="307" t="s">
        <v>720</v>
      </c>
    </row>
    <row r="97" spans="1:4">
      <c r="A97" t="s">
        <v>721</v>
      </c>
      <c r="B97" s="307">
        <v>96</v>
      </c>
      <c r="C97" s="312">
        <v>49674</v>
      </c>
      <c r="D97" s="307" t="s">
        <v>722</v>
      </c>
    </row>
    <row r="98" spans="1:4">
      <c r="A98" t="s">
        <v>716</v>
      </c>
      <c r="B98" s="307">
        <v>97</v>
      </c>
      <c r="C98" s="312">
        <v>49765</v>
      </c>
      <c r="D98" s="307" t="s">
        <v>723</v>
      </c>
    </row>
    <row r="99" spans="1:4">
      <c r="A99" t="s">
        <v>718</v>
      </c>
      <c r="B99" s="307">
        <v>98</v>
      </c>
      <c r="C99" s="312">
        <v>49856</v>
      </c>
      <c r="D99" s="307" t="s">
        <v>724</v>
      </c>
    </row>
    <row r="100" spans="1:4">
      <c r="A100" t="s">
        <v>720</v>
      </c>
      <c r="B100" s="307">
        <v>99</v>
      </c>
      <c r="C100" s="312">
        <v>49948</v>
      </c>
      <c r="D100" s="307" t="s">
        <v>725</v>
      </c>
    </row>
    <row r="101" spans="1:4">
      <c r="A101" t="s">
        <v>722</v>
      </c>
      <c r="B101" s="307">
        <v>100</v>
      </c>
      <c r="C101" s="312">
        <v>50040</v>
      </c>
      <c r="D101" s="307" t="s">
        <v>726</v>
      </c>
    </row>
    <row r="102" spans="1:4">
      <c r="A102" t="s">
        <v>723</v>
      </c>
      <c r="B102" s="307">
        <v>101</v>
      </c>
      <c r="C102" s="312">
        <v>50130</v>
      </c>
      <c r="D102" s="307" t="s">
        <v>727</v>
      </c>
    </row>
    <row r="103" spans="1:4">
      <c r="A103" t="s">
        <v>724</v>
      </c>
      <c r="B103" s="307">
        <v>102</v>
      </c>
      <c r="C103" s="312">
        <v>50221</v>
      </c>
      <c r="D103" s="307" t="s">
        <v>728</v>
      </c>
    </row>
    <row r="104" spans="1:4">
      <c r="A104" t="s">
        <v>725</v>
      </c>
      <c r="B104" s="307">
        <v>103</v>
      </c>
      <c r="C104" s="312">
        <v>50313</v>
      </c>
      <c r="D104" s="307" t="s">
        <v>729</v>
      </c>
    </row>
    <row r="105" spans="1:4">
      <c r="A105" t="s">
        <v>726</v>
      </c>
      <c r="B105" s="307">
        <v>104</v>
      </c>
      <c r="C105" s="312">
        <v>50405</v>
      </c>
      <c r="D105" s="307" t="s">
        <v>730</v>
      </c>
    </row>
    <row r="106" spans="1:4">
      <c r="A106" t="s">
        <v>727</v>
      </c>
      <c r="B106" s="307">
        <v>105</v>
      </c>
      <c r="C106" s="312">
        <v>50495</v>
      </c>
      <c r="D106" s="307" t="s">
        <v>731</v>
      </c>
    </row>
    <row r="107" spans="1:4">
      <c r="A107" t="s">
        <v>728</v>
      </c>
      <c r="B107" s="307">
        <v>106</v>
      </c>
      <c r="C107" s="312">
        <v>50586</v>
      </c>
      <c r="D107" s="307" t="s">
        <v>732</v>
      </c>
    </row>
    <row r="108" spans="1:4">
      <c r="A108" t="s">
        <v>729</v>
      </c>
      <c r="B108" s="307">
        <v>107</v>
      </c>
      <c r="C108" s="312">
        <v>50678</v>
      </c>
      <c r="D108" s="307" t="s">
        <v>733</v>
      </c>
    </row>
    <row r="109" spans="1:4">
      <c r="A109" t="s">
        <v>730</v>
      </c>
      <c r="B109" s="307">
        <v>108</v>
      </c>
      <c r="C109" s="312">
        <v>50770</v>
      </c>
      <c r="D109" s="307" t="s">
        <v>734</v>
      </c>
    </row>
    <row r="110" spans="1:4">
      <c r="A110" t="s">
        <v>731</v>
      </c>
      <c r="B110" s="307">
        <v>109</v>
      </c>
      <c r="C110" s="312">
        <v>50860</v>
      </c>
      <c r="D110" s="307" t="s">
        <v>735</v>
      </c>
    </row>
    <row r="111" spans="1:4">
      <c r="A111" t="s">
        <v>732</v>
      </c>
      <c r="B111" s="307">
        <v>110</v>
      </c>
      <c r="C111" s="312">
        <v>50951</v>
      </c>
      <c r="D111" s="307" t="s">
        <v>736</v>
      </c>
    </row>
    <row r="112" spans="1:4">
      <c r="A112" t="s">
        <v>733</v>
      </c>
      <c r="B112" s="307">
        <v>111</v>
      </c>
      <c r="C112" s="312">
        <v>51043</v>
      </c>
      <c r="D112" s="307" t="s">
        <v>737</v>
      </c>
    </row>
    <row r="113" spans="1:4">
      <c r="A113" t="s">
        <v>734</v>
      </c>
      <c r="B113" s="307">
        <v>112</v>
      </c>
      <c r="C113" s="312">
        <v>51135</v>
      </c>
      <c r="D113" s="307" t="s">
        <v>738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X96"/>
  <sheetViews>
    <sheetView showGridLines="0" zoomScale="70" zoomScaleNormal="70" workbookViewId="0">
      <pane xSplit="2" ySplit="1" topLeftCell="AX2" activePane="bottomRight" state="frozen"/>
      <selection activeCell="AW25" sqref="AW25"/>
      <selection pane="topRight" activeCell="AW25" sqref="AW25"/>
      <selection pane="bottomLeft" activeCell="AW25" sqref="AW25"/>
      <selection pane="bottomRight" activeCell="BC3" sqref="BC3"/>
    </sheetView>
  </sheetViews>
  <sheetFormatPr defaultColWidth="9.234375" defaultRowHeight="15.35"/>
  <cols>
    <col min="1" max="1" width="2" style="6" customWidth="1"/>
    <col min="2" max="2" width="51.234375" style="6" bestFit="1" customWidth="1"/>
    <col min="3" max="4" width="51.234375" style="6" customWidth="1"/>
    <col min="5" max="5" width="13.76171875" style="36" bestFit="1" customWidth="1"/>
    <col min="6" max="6" width="13.234375" style="36" bestFit="1" customWidth="1"/>
    <col min="7" max="10" width="14.234375" style="36" bestFit="1" customWidth="1"/>
    <col min="11" max="12" width="13.76171875" style="36" bestFit="1" customWidth="1"/>
    <col min="13" max="14" width="14.234375" style="36" bestFit="1" customWidth="1"/>
    <col min="15" max="16" width="13.76171875" style="36" bestFit="1" customWidth="1"/>
    <col min="17" max="18" width="14.234375" style="36" bestFit="1" customWidth="1"/>
    <col min="19" max="21" width="13.76171875" style="36" bestFit="1" customWidth="1"/>
    <col min="22" max="22" width="14.234375" style="36" bestFit="1" customWidth="1"/>
    <col min="23" max="23" width="13.76171875" style="36" bestFit="1" customWidth="1"/>
    <col min="24" max="24" width="14.234375" style="36" bestFit="1" customWidth="1"/>
    <col min="25" max="25" width="13.76171875" style="36" bestFit="1" customWidth="1"/>
    <col min="26" max="26" width="14.234375" style="36" bestFit="1" customWidth="1"/>
    <col min="27" max="27" width="13.76171875" style="36" bestFit="1" customWidth="1"/>
    <col min="28" max="28" width="14.234375" style="36" bestFit="1" customWidth="1"/>
    <col min="29" max="30" width="13.76171875" style="36" bestFit="1" customWidth="1"/>
    <col min="31" max="31" width="13.234375" style="122" bestFit="1" customWidth="1"/>
    <col min="32" max="33" width="14.234375" style="122" bestFit="1" customWidth="1"/>
    <col min="34" max="34" width="13.76171875" style="122" bestFit="1" customWidth="1"/>
    <col min="35" max="35" width="14.234375" style="122" bestFit="1" customWidth="1"/>
    <col min="36" max="36" width="13.76171875" style="122" bestFit="1" customWidth="1"/>
    <col min="37" max="37" width="14.234375" style="122" bestFit="1" customWidth="1"/>
    <col min="38" max="38" width="14.52734375" style="122" customWidth="1"/>
    <col min="39" max="39" width="13.76171875" style="122" bestFit="1" customWidth="1"/>
    <col min="40" max="40" width="14.234375" style="122" bestFit="1" customWidth="1"/>
    <col min="41" max="41" width="13.76171875" style="122" bestFit="1" customWidth="1"/>
    <col min="42" max="45" width="14.234375" style="122" bestFit="1" customWidth="1"/>
    <col min="46" max="55" width="14.234375" style="122" customWidth="1"/>
    <col min="56" max="56" width="4.76171875" style="6" customWidth="1"/>
    <col min="57" max="57" width="69.234375" style="6" bestFit="1" customWidth="1"/>
    <col min="58" max="58" width="13.76171875" style="6" bestFit="1" customWidth="1"/>
    <col min="59" max="59" width="12" style="6" bestFit="1" customWidth="1"/>
    <col min="60" max="62" width="9.234375" style="6"/>
    <col min="63" max="63" width="11.234375" style="6" bestFit="1" customWidth="1"/>
    <col min="64" max="16384" width="9.234375" style="6"/>
  </cols>
  <sheetData>
    <row r="1" spans="1:64" s="30" customFormat="1">
      <c r="B1" s="508" t="s">
        <v>208</v>
      </c>
      <c r="C1" s="508"/>
      <c r="D1" s="508"/>
      <c r="E1" s="509" t="s">
        <v>626</v>
      </c>
      <c r="F1" s="509" t="s">
        <v>627</v>
      </c>
      <c r="G1" s="509" t="s">
        <v>628</v>
      </c>
      <c r="H1" s="509" t="s">
        <v>629</v>
      </c>
      <c r="I1" s="509" t="s">
        <v>630</v>
      </c>
      <c r="J1" s="509" t="s">
        <v>631</v>
      </c>
      <c r="K1" s="509" t="s">
        <v>632</v>
      </c>
      <c r="L1" s="509" t="s">
        <v>633</v>
      </c>
      <c r="M1" s="509" t="s">
        <v>634</v>
      </c>
      <c r="N1" s="509" t="s">
        <v>635</v>
      </c>
      <c r="O1" s="509" t="s">
        <v>636</v>
      </c>
      <c r="P1" s="509" t="s">
        <v>637</v>
      </c>
      <c r="Q1" s="509" t="s">
        <v>638</v>
      </c>
      <c r="R1" s="509" t="s">
        <v>639</v>
      </c>
      <c r="S1" s="509" t="s">
        <v>640</v>
      </c>
      <c r="T1" s="509" t="s">
        <v>641</v>
      </c>
      <c r="U1" s="509" t="s">
        <v>642</v>
      </c>
      <c r="V1" s="509" t="s">
        <v>643</v>
      </c>
      <c r="W1" s="509" t="s">
        <v>644</v>
      </c>
      <c r="X1" s="509" t="s">
        <v>645</v>
      </c>
      <c r="Y1" s="509" t="s">
        <v>646</v>
      </c>
      <c r="Z1" s="509" t="s">
        <v>647</v>
      </c>
      <c r="AA1" s="509" t="s">
        <v>648</v>
      </c>
      <c r="AB1" s="509" t="s">
        <v>649</v>
      </c>
      <c r="AC1" s="509" t="s">
        <v>650</v>
      </c>
      <c r="AD1" s="509" t="s">
        <v>651</v>
      </c>
      <c r="AE1" s="509" t="s">
        <v>652</v>
      </c>
      <c r="AF1" s="509" t="s">
        <v>653</v>
      </c>
      <c r="AG1" s="509" t="s">
        <v>654</v>
      </c>
      <c r="AH1" s="509" t="s">
        <v>655</v>
      </c>
      <c r="AI1" s="509" t="s">
        <v>656</v>
      </c>
      <c r="AJ1" s="509" t="s">
        <v>657</v>
      </c>
      <c r="AK1" s="509" t="s">
        <v>658</v>
      </c>
      <c r="AL1" s="509" t="s">
        <v>659</v>
      </c>
      <c r="AM1" s="509" t="s">
        <v>660</v>
      </c>
      <c r="AN1" s="509" t="s">
        <v>661</v>
      </c>
      <c r="AO1" s="509" t="s">
        <v>662</v>
      </c>
      <c r="AP1" s="509" t="s">
        <v>663</v>
      </c>
      <c r="AQ1" s="509" t="s">
        <v>664</v>
      </c>
      <c r="AR1" s="509" t="s">
        <v>665</v>
      </c>
      <c r="AS1" s="509" t="s">
        <v>666</v>
      </c>
      <c r="AT1" s="509" t="s">
        <v>667</v>
      </c>
      <c r="AU1" s="509" t="s">
        <v>668</v>
      </c>
      <c r="AV1" s="509" t="s">
        <v>669</v>
      </c>
      <c r="AW1" s="509" t="s">
        <v>670</v>
      </c>
      <c r="AX1" s="509" t="s">
        <v>671</v>
      </c>
      <c r="AY1" s="509" t="s">
        <v>672</v>
      </c>
      <c r="AZ1" s="509" t="s">
        <v>673</v>
      </c>
      <c r="BA1" s="509" t="s">
        <v>674</v>
      </c>
      <c r="BB1" s="509" t="s">
        <v>675</v>
      </c>
      <c r="BC1" s="509" t="s">
        <v>676</v>
      </c>
      <c r="BD1" s="508"/>
      <c r="BE1" s="508" t="s">
        <v>209</v>
      </c>
    </row>
    <row r="2" spans="1:64" s="30" customFormat="1">
      <c r="A2" s="13"/>
      <c r="B2" s="13"/>
      <c r="C2" s="13"/>
      <c r="D2" s="1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08"/>
      <c r="AG2" s="108"/>
      <c r="AH2" s="108"/>
      <c r="AI2" s="108"/>
      <c r="AJ2" s="108"/>
      <c r="AK2" s="108"/>
      <c r="AL2" s="301" t="s">
        <v>615</v>
      </c>
      <c r="AM2" s="108"/>
      <c r="AN2" s="108"/>
      <c r="AO2" s="108"/>
      <c r="AP2" s="108"/>
      <c r="AQ2" s="108"/>
      <c r="AR2" s="108"/>
      <c r="AS2" s="108"/>
      <c r="AT2" s="108"/>
      <c r="AU2" s="108"/>
      <c r="AV2" s="108"/>
      <c r="AW2" s="108"/>
      <c r="AX2" s="108"/>
      <c r="AY2" s="108"/>
      <c r="AZ2" s="108"/>
      <c r="BA2" s="108"/>
      <c r="BB2" s="108"/>
      <c r="BC2" s="108"/>
      <c r="BD2" s="13"/>
      <c r="BE2" s="13"/>
    </row>
    <row r="3" spans="1:64">
      <c r="A3" s="2"/>
      <c r="B3" s="77" t="s">
        <v>210</v>
      </c>
      <c r="C3" s="77"/>
      <c r="D3" s="77"/>
      <c r="E3" s="78">
        <v>40999</v>
      </c>
      <c r="F3" s="78">
        <f>EOMONTH(E3,3)</f>
        <v>41090</v>
      </c>
      <c r="G3" s="78">
        <f t="shared" ref="G3:BC3" si="0">EOMONTH(F3,3)</f>
        <v>41182</v>
      </c>
      <c r="H3" s="78">
        <f t="shared" si="0"/>
        <v>41274</v>
      </c>
      <c r="I3" s="78">
        <f t="shared" si="0"/>
        <v>41364</v>
      </c>
      <c r="J3" s="78">
        <f t="shared" si="0"/>
        <v>41455</v>
      </c>
      <c r="K3" s="78">
        <f t="shared" si="0"/>
        <v>41547</v>
      </c>
      <c r="L3" s="78">
        <f t="shared" si="0"/>
        <v>41639</v>
      </c>
      <c r="M3" s="78">
        <f t="shared" si="0"/>
        <v>41729</v>
      </c>
      <c r="N3" s="78">
        <f t="shared" si="0"/>
        <v>41820</v>
      </c>
      <c r="O3" s="78">
        <f t="shared" si="0"/>
        <v>41912</v>
      </c>
      <c r="P3" s="78">
        <f t="shared" si="0"/>
        <v>42004</v>
      </c>
      <c r="Q3" s="78">
        <f t="shared" si="0"/>
        <v>42094</v>
      </c>
      <c r="R3" s="78">
        <f t="shared" si="0"/>
        <v>42185</v>
      </c>
      <c r="S3" s="78">
        <f t="shared" si="0"/>
        <v>42277</v>
      </c>
      <c r="T3" s="78">
        <f t="shared" si="0"/>
        <v>42369</v>
      </c>
      <c r="U3" s="78">
        <f t="shared" si="0"/>
        <v>42460</v>
      </c>
      <c r="V3" s="78">
        <f t="shared" si="0"/>
        <v>42551</v>
      </c>
      <c r="W3" s="78">
        <f t="shared" si="0"/>
        <v>42643</v>
      </c>
      <c r="X3" s="78">
        <f t="shared" si="0"/>
        <v>42735</v>
      </c>
      <c r="Y3" s="78">
        <f t="shared" si="0"/>
        <v>42825</v>
      </c>
      <c r="Z3" s="78">
        <f t="shared" si="0"/>
        <v>42916</v>
      </c>
      <c r="AA3" s="78">
        <f t="shared" si="0"/>
        <v>43008</v>
      </c>
      <c r="AB3" s="78">
        <f t="shared" si="0"/>
        <v>43100</v>
      </c>
      <c r="AC3" s="78">
        <f t="shared" si="0"/>
        <v>43190</v>
      </c>
      <c r="AD3" s="78">
        <f t="shared" si="0"/>
        <v>43281</v>
      </c>
      <c r="AE3" s="78">
        <f t="shared" si="0"/>
        <v>43373</v>
      </c>
      <c r="AF3" s="78">
        <f t="shared" si="0"/>
        <v>43465</v>
      </c>
      <c r="AG3" s="78">
        <f t="shared" si="0"/>
        <v>43555</v>
      </c>
      <c r="AH3" s="78">
        <f t="shared" si="0"/>
        <v>43646</v>
      </c>
      <c r="AI3" s="78">
        <f t="shared" si="0"/>
        <v>43738</v>
      </c>
      <c r="AJ3" s="78">
        <f t="shared" si="0"/>
        <v>43830</v>
      </c>
      <c r="AK3" s="78">
        <f t="shared" si="0"/>
        <v>43921</v>
      </c>
      <c r="AL3" s="78">
        <f t="shared" si="0"/>
        <v>44012</v>
      </c>
      <c r="AM3" s="78">
        <f t="shared" si="0"/>
        <v>44104</v>
      </c>
      <c r="AN3" s="78">
        <f t="shared" si="0"/>
        <v>44196</v>
      </c>
      <c r="AO3" s="78">
        <f t="shared" si="0"/>
        <v>44286</v>
      </c>
      <c r="AP3" s="78">
        <f t="shared" si="0"/>
        <v>44377</v>
      </c>
      <c r="AQ3" s="78">
        <f t="shared" si="0"/>
        <v>44469</v>
      </c>
      <c r="AR3" s="78">
        <f t="shared" si="0"/>
        <v>44561</v>
      </c>
      <c r="AS3" s="78">
        <f t="shared" si="0"/>
        <v>44651</v>
      </c>
      <c r="AT3" s="78">
        <f t="shared" si="0"/>
        <v>44742</v>
      </c>
      <c r="AU3" s="78">
        <f t="shared" si="0"/>
        <v>44834</v>
      </c>
      <c r="AV3" s="78">
        <f t="shared" si="0"/>
        <v>44926</v>
      </c>
      <c r="AW3" s="78">
        <f t="shared" si="0"/>
        <v>45016</v>
      </c>
      <c r="AX3" s="78">
        <f t="shared" si="0"/>
        <v>45107</v>
      </c>
      <c r="AY3" s="78">
        <f t="shared" si="0"/>
        <v>45199</v>
      </c>
      <c r="AZ3" s="78">
        <f t="shared" si="0"/>
        <v>45291</v>
      </c>
      <c r="BA3" s="78">
        <f t="shared" si="0"/>
        <v>45382</v>
      </c>
      <c r="BB3" s="78">
        <f t="shared" si="0"/>
        <v>45473</v>
      </c>
      <c r="BC3" s="78">
        <f t="shared" si="0"/>
        <v>45565</v>
      </c>
      <c r="BD3" s="2"/>
      <c r="BE3" s="2"/>
    </row>
    <row r="4" spans="1:64">
      <c r="A4" s="2"/>
      <c r="B4" s="80" t="s">
        <v>211</v>
      </c>
      <c r="C4" s="80"/>
      <c r="D4" s="80"/>
      <c r="E4" s="256">
        <v>187294</v>
      </c>
      <c r="F4" s="256">
        <v>193501</v>
      </c>
      <c r="G4" s="256">
        <v>202732</v>
      </c>
      <c r="H4" s="256">
        <v>202395</v>
      </c>
      <c r="I4" s="256">
        <v>204484</v>
      </c>
      <c r="J4" s="256">
        <v>202639</v>
      </c>
      <c r="K4" s="256">
        <v>213244</v>
      </c>
      <c r="L4" s="256">
        <v>219385</v>
      </c>
      <c r="M4" s="256">
        <v>222193</v>
      </c>
      <c r="N4" s="256">
        <v>229616</v>
      </c>
      <c r="O4" s="256">
        <v>228452</v>
      </c>
      <c r="P4" s="256">
        <v>232171</v>
      </c>
      <c r="Q4" s="256">
        <v>230155</v>
      </c>
      <c r="R4" s="256">
        <v>236709</v>
      </c>
      <c r="S4" s="256">
        <v>238357</v>
      </c>
      <c r="T4" s="256">
        <v>240659</v>
      </c>
      <c r="U4" s="256">
        <v>249596</v>
      </c>
      <c r="V4" s="256">
        <v>255465</v>
      </c>
      <c r="W4" s="256">
        <v>246515</v>
      </c>
      <c r="X4" s="256">
        <v>233357</v>
      </c>
      <c r="Y4" s="256">
        <v>219346</v>
      </c>
      <c r="Z4" s="256">
        <v>219581</v>
      </c>
      <c r="AA4" s="256">
        <v>217769</v>
      </c>
      <c r="AB4" s="256">
        <v>203186</v>
      </c>
      <c r="AC4" s="256">
        <v>196343</v>
      </c>
      <c r="AD4" s="256">
        <v>197992</v>
      </c>
      <c r="AE4" s="256">
        <v>201477</v>
      </c>
      <c r="AF4" s="256">
        <v>202311</v>
      </c>
      <c r="AG4" s="256">
        <v>206022</v>
      </c>
      <c r="AH4" s="256">
        <v>207379</v>
      </c>
      <c r="AI4" s="256">
        <v>211313</v>
      </c>
      <c r="AJ4" s="256">
        <v>219471</v>
      </c>
      <c r="AK4" s="256">
        <v>230187</v>
      </c>
      <c r="AL4" s="256">
        <v>232903</v>
      </c>
      <c r="AM4" s="256">
        <v>250604</v>
      </c>
      <c r="AN4" s="256">
        <v>265178</v>
      </c>
      <c r="AO4" s="256">
        <v>257473</v>
      </c>
      <c r="AP4" s="256">
        <v>268536</v>
      </c>
      <c r="AQ4" s="256">
        <v>283264</v>
      </c>
      <c r="AR4" s="256">
        <v>298666</v>
      </c>
      <c r="AS4" s="256">
        <v>315003</v>
      </c>
      <c r="AT4" s="256">
        <v>328046</v>
      </c>
      <c r="AU4" s="256">
        <v>345268</v>
      </c>
      <c r="AV4" s="256">
        <v>358044</v>
      </c>
      <c r="AW4" s="256">
        <v>360090</v>
      </c>
      <c r="AX4" s="256">
        <v>374400</v>
      </c>
      <c r="AY4" s="256">
        <v>370438</v>
      </c>
      <c r="AZ4" s="256">
        <v>378995</v>
      </c>
      <c r="BA4" s="256">
        <v>375991</v>
      </c>
      <c r="BB4" s="256">
        <v>385064</v>
      </c>
      <c r="BC4" s="256">
        <v>414733</v>
      </c>
      <c r="BD4" s="2"/>
      <c r="BE4" s="2"/>
      <c r="BF4" s="81"/>
      <c r="BG4" s="244"/>
      <c r="BH4" s="72"/>
      <c r="BK4" s="73"/>
      <c r="BL4" s="72"/>
    </row>
    <row r="5" spans="1:64">
      <c r="A5" s="2"/>
      <c r="B5" s="80" t="s">
        <v>212</v>
      </c>
      <c r="C5" s="80"/>
      <c r="D5" s="80"/>
      <c r="E5" s="256">
        <v>94</v>
      </c>
      <c r="F5" s="256">
        <v>118</v>
      </c>
      <c r="G5" s="256">
        <v>98</v>
      </c>
      <c r="H5" s="256">
        <v>142</v>
      </c>
      <c r="I5" s="256">
        <v>120</v>
      </c>
      <c r="J5" s="256">
        <v>356</v>
      </c>
      <c r="K5" s="256">
        <v>184</v>
      </c>
      <c r="L5" s="256">
        <v>222</v>
      </c>
      <c r="M5" s="256">
        <v>412</v>
      </c>
      <c r="N5" s="256">
        <v>439</v>
      </c>
      <c r="O5" s="256">
        <v>165</v>
      </c>
      <c r="P5" s="256">
        <v>110</v>
      </c>
      <c r="Q5" s="256">
        <v>243</v>
      </c>
      <c r="R5" s="256">
        <v>99</v>
      </c>
      <c r="S5" s="256">
        <v>162</v>
      </c>
      <c r="T5" s="256">
        <v>375</v>
      </c>
      <c r="U5" s="256">
        <v>235</v>
      </c>
      <c r="V5" s="256">
        <v>264</v>
      </c>
      <c r="W5" s="256">
        <v>200</v>
      </c>
      <c r="X5" s="256">
        <v>282</v>
      </c>
      <c r="Y5" s="256">
        <v>460</v>
      </c>
      <c r="Z5" s="256">
        <v>486</v>
      </c>
      <c r="AA5" s="256">
        <v>553</v>
      </c>
      <c r="AB5" s="256">
        <v>696</v>
      </c>
      <c r="AC5" s="256">
        <v>753</v>
      </c>
      <c r="AD5" s="256">
        <v>997</v>
      </c>
      <c r="AE5" s="256">
        <v>694</v>
      </c>
      <c r="AF5" s="256">
        <v>675</v>
      </c>
      <c r="AG5" s="256">
        <v>546</v>
      </c>
      <c r="AH5" s="256">
        <v>2945</v>
      </c>
      <c r="AI5" s="256">
        <v>3466</v>
      </c>
      <c r="AJ5" s="256">
        <v>3715</v>
      </c>
      <c r="AK5" s="256">
        <v>8198</v>
      </c>
      <c r="AL5" s="256">
        <v>4066.1698189999997</v>
      </c>
      <c r="AM5" s="256">
        <v>1030.8301810000003</v>
      </c>
      <c r="AN5" s="256">
        <v>492</v>
      </c>
      <c r="AO5" s="256">
        <v>839.30000000000018</v>
      </c>
      <c r="AP5" s="256">
        <v>2098</v>
      </c>
      <c r="AQ5" s="256">
        <v>1088</v>
      </c>
      <c r="AR5" s="256">
        <v>1971</v>
      </c>
      <c r="AS5" s="256">
        <v>186</v>
      </c>
      <c r="AT5" s="256">
        <v>1922</v>
      </c>
      <c r="AU5" s="256">
        <v>2019</v>
      </c>
      <c r="AV5" s="256">
        <v>2576</v>
      </c>
      <c r="AW5" s="256">
        <v>2849</v>
      </c>
      <c r="AX5" s="256">
        <v>3483</v>
      </c>
      <c r="AY5" s="256">
        <v>3304</v>
      </c>
      <c r="AZ5" s="256">
        <v>4398</v>
      </c>
      <c r="BA5" s="256">
        <v>3169</v>
      </c>
      <c r="BB5" s="256">
        <v>3635</v>
      </c>
      <c r="BC5" s="256">
        <v>2547</v>
      </c>
      <c r="BD5" s="2"/>
      <c r="BE5" s="2"/>
      <c r="BF5" s="449"/>
      <c r="BG5" s="35"/>
    </row>
    <row r="6" spans="1:64">
      <c r="A6" s="2"/>
      <c r="B6" s="80" t="s">
        <v>213</v>
      </c>
      <c r="C6" s="80"/>
      <c r="D6" s="80"/>
      <c r="E6" s="82"/>
      <c r="F6" s="82"/>
      <c r="G6" s="82"/>
      <c r="H6" s="82"/>
      <c r="I6" s="82"/>
      <c r="J6" s="82"/>
      <c r="K6" s="82"/>
      <c r="L6" s="82"/>
      <c r="M6" s="82"/>
      <c r="N6" s="82"/>
      <c r="O6" s="82"/>
      <c r="P6" s="82"/>
      <c r="Q6" s="82"/>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3"/>
      <c r="BE6" s="2"/>
      <c r="BG6" s="35"/>
    </row>
    <row r="7" spans="1:64">
      <c r="A7" s="2"/>
      <c r="B7" s="126" t="s">
        <v>214</v>
      </c>
      <c r="C7" s="126"/>
      <c r="D7" s="126"/>
      <c r="E7" s="84">
        <v>187388</v>
      </c>
      <c r="F7" s="84">
        <v>193619</v>
      </c>
      <c r="G7" s="84">
        <v>202830</v>
      </c>
      <c r="H7" s="84">
        <v>202537</v>
      </c>
      <c r="I7" s="84">
        <v>204604</v>
      </c>
      <c r="J7" s="84">
        <v>202995</v>
      </c>
      <c r="K7" s="84">
        <v>213428</v>
      </c>
      <c r="L7" s="84">
        <v>219607</v>
      </c>
      <c r="M7" s="84">
        <v>222605</v>
      </c>
      <c r="N7" s="84">
        <v>230055</v>
      </c>
      <c r="O7" s="84">
        <v>228617</v>
      </c>
      <c r="P7" s="84">
        <v>232281</v>
      </c>
      <c r="Q7" s="84">
        <v>230398</v>
      </c>
      <c r="R7" s="129">
        <v>236808</v>
      </c>
      <c r="S7" s="130">
        <v>238519</v>
      </c>
      <c r="T7" s="130">
        <v>241034</v>
      </c>
      <c r="U7" s="130">
        <v>249831</v>
      </c>
      <c r="V7" s="130">
        <v>255729</v>
      </c>
      <c r="W7" s="130">
        <v>246715</v>
      </c>
      <c r="X7" s="130">
        <v>233639</v>
      </c>
      <c r="Y7" s="130">
        <v>219806</v>
      </c>
      <c r="Z7" s="130">
        <f>Z4+Z5</f>
        <v>220067</v>
      </c>
      <c r="AA7" s="130">
        <v>218322</v>
      </c>
      <c r="AB7" s="130">
        <v>203882</v>
      </c>
      <c r="AC7" s="131">
        <f t="shared" ref="AC7:AI7" si="1">AC4+AC5</f>
        <v>197096</v>
      </c>
      <c r="AD7" s="131">
        <f t="shared" si="1"/>
        <v>198989</v>
      </c>
      <c r="AE7" s="131">
        <f t="shared" si="1"/>
        <v>202171</v>
      </c>
      <c r="AF7" s="131">
        <f t="shared" si="1"/>
        <v>202986</v>
      </c>
      <c r="AG7" s="131">
        <f t="shared" si="1"/>
        <v>206568</v>
      </c>
      <c r="AH7" s="131">
        <f t="shared" si="1"/>
        <v>210324</v>
      </c>
      <c r="AI7" s="131">
        <f t="shared" si="1"/>
        <v>214779</v>
      </c>
      <c r="AJ7" s="131">
        <f t="shared" ref="AJ7" si="2">AJ4+AJ5</f>
        <v>223186</v>
      </c>
      <c r="AK7" s="131">
        <v>238385</v>
      </c>
      <c r="AL7" s="131">
        <f t="shared" ref="AL7:AP7" si="3">AL4+AL5</f>
        <v>236969.169819</v>
      </c>
      <c r="AM7" s="131">
        <f t="shared" si="3"/>
        <v>251634.830181</v>
      </c>
      <c r="AN7" s="131">
        <f t="shared" si="3"/>
        <v>265670</v>
      </c>
      <c r="AO7" s="131">
        <f t="shared" si="3"/>
        <v>258312.3</v>
      </c>
      <c r="AP7" s="131">
        <f t="shared" si="3"/>
        <v>270634</v>
      </c>
      <c r="AQ7" s="131">
        <f t="shared" ref="AQ7:AR7" si="4">AQ4+AQ5</f>
        <v>284352</v>
      </c>
      <c r="AR7" s="131">
        <f t="shared" si="4"/>
        <v>300637</v>
      </c>
      <c r="AS7" s="131">
        <f t="shared" ref="AS7:AT7" si="5">AS4+AS5</f>
        <v>315189</v>
      </c>
      <c r="AT7" s="131">
        <f t="shared" si="5"/>
        <v>329968</v>
      </c>
      <c r="AU7" s="131">
        <f t="shared" ref="AU7:AV7" si="6">AU4+AU5</f>
        <v>347287</v>
      </c>
      <c r="AV7" s="131">
        <f t="shared" si="6"/>
        <v>360620</v>
      </c>
      <c r="AW7" s="131">
        <f t="shared" ref="AW7:AY7" si="7">AW4+AW5</f>
        <v>362939</v>
      </c>
      <c r="AX7" s="131">
        <f t="shared" si="7"/>
        <v>377883</v>
      </c>
      <c r="AY7" s="131">
        <f t="shared" si="7"/>
        <v>373742</v>
      </c>
      <c r="AZ7" s="131">
        <f t="shared" ref="AZ7:BA7" si="8">AZ4+AZ5</f>
        <v>383393</v>
      </c>
      <c r="BA7" s="131">
        <f t="shared" si="8"/>
        <v>379160</v>
      </c>
      <c r="BB7" s="131">
        <f t="shared" ref="BB7:BC7" si="9">BB4+BB5</f>
        <v>388699</v>
      </c>
      <c r="BC7" s="131">
        <f t="shared" si="9"/>
        <v>417280</v>
      </c>
      <c r="BD7" s="2"/>
      <c r="BE7" s="13"/>
      <c r="BF7" s="75"/>
      <c r="BG7" s="450"/>
    </row>
    <row r="8" spans="1:64">
      <c r="A8" s="2"/>
      <c r="B8" s="127"/>
      <c r="C8" s="127"/>
      <c r="D8" s="127"/>
      <c r="E8" s="86"/>
      <c r="F8" s="86"/>
      <c r="G8" s="86"/>
      <c r="H8" s="86"/>
      <c r="I8" s="86"/>
      <c r="J8" s="86"/>
      <c r="K8" s="86"/>
      <c r="L8" s="86"/>
      <c r="M8" s="86"/>
      <c r="N8" s="86"/>
      <c r="O8" s="86"/>
      <c r="P8" s="86"/>
      <c r="Q8" s="86"/>
      <c r="R8" s="86"/>
      <c r="S8" s="86"/>
      <c r="T8" s="86"/>
      <c r="U8" s="86"/>
      <c r="V8" s="86"/>
      <c r="W8" s="86"/>
      <c r="X8" s="86"/>
      <c r="Y8" s="86"/>
      <c r="Z8" s="87"/>
      <c r="AA8" s="87"/>
      <c r="AB8" s="87"/>
      <c r="AC8" s="87"/>
      <c r="AD8" s="87"/>
      <c r="AE8" s="87"/>
      <c r="AF8" s="87"/>
      <c r="AG8" s="87"/>
      <c r="AH8" s="87"/>
      <c r="AI8" s="87"/>
      <c r="AJ8" s="87"/>
      <c r="AK8" s="87"/>
      <c r="AL8" s="87"/>
      <c r="AM8" s="87"/>
      <c r="AN8" s="87"/>
      <c r="AO8" s="87"/>
      <c r="AP8" s="87"/>
      <c r="AQ8" s="87"/>
      <c r="AR8" s="87"/>
      <c r="AS8" s="87"/>
      <c r="AT8" s="87"/>
      <c r="AU8" s="87"/>
      <c r="AV8" s="87"/>
      <c r="AW8" s="87"/>
      <c r="AX8" s="87"/>
      <c r="AY8" s="87"/>
      <c r="AZ8" s="87"/>
      <c r="BA8" s="87"/>
      <c r="BB8" s="87"/>
      <c r="BC8" s="87"/>
      <c r="BD8" s="2"/>
      <c r="BE8" s="2"/>
      <c r="BG8" s="35"/>
    </row>
    <row r="9" spans="1:64">
      <c r="A9" s="2"/>
      <c r="B9" s="77" t="s">
        <v>215</v>
      </c>
      <c r="C9" s="77"/>
      <c r="D9" s="77"/>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1"/>
      <c r="AU9" s="81"/>
      <c r="AV9" s="81"/>
      <c r="AW9" s="81"/>
      <c r="AX9" s="81"/>
      <c r="AY9" s="81"/>
      <c r="AZ9" s="81"/>
      <c r="BA9" s="81"/>
      <c r="BB9" s="81"/>
      <c r="BC9" s="81"/>
      <c r="BD9" s="2"/>
      <c r="BE9" s="2"/>
      <c r="BG9" s="35"/>
    </row>
    <row r="10" spans="1:64">
      <c r="A10" s="2"/>
      <c r="B10" s="88" t="s">
        <v>216</v>
      </c>
      <c r="C10" s="88"/>
      <c r="D10" s="88"/>
      <c r="E10" s="81"/>
      <c r="F10" s="81"/>
      <c r="G10" s="81"/>
      <c r="H10" s="81"/>
      <c r="I10" s="81"/>
      <c r="J10" s="81"/>
      <c r="K10" s="81"/>
      <c r="L10" s="81"/>
      <c r="M10" s="81"/>
      <c r="N10" s="81"/>
      <c r="O10" s="81"/>
      <c r="P10" s="81"/>
      <c r="Q10" s="81"/>
      <c r="R10" s="256">
        <v>51733.244491999998</v>
      </c>
      <c r="S10" s="256">
        <v>52863.483651999995</v>
      </c>
      <c r="T10" s="256">
        <v>53550</v>
      </c>
      <c r="U10" s="256">
        <v>53744</v>
      </c>
      <c r="V10" s="256">
        <v>53957.992145000004</v>
      </c>
      <c r="W10" s="256">
        <v>50933.40381299999</v>
      </c>
      <c r="X10" s="256">
        <v>52634.744487000011</v>
      </c>
      <c r="Y10" s="256">
        <v>51627.859554999995</v>
      </c>
      <c r="Z10" s="256">
        <v>51612</v>
      </c>
      <c r="AA10" s="256">
        <v>50472</v>
      </c>
      <c r="AB10" s="256">
        <v>47365</v>
      </c>
      <c r="AC10" s="256">
        <v>48071</v>
      </c>
      <c r="AD10" s="256">
        <v>50677</v>
      </c>
      <c r="AE10" s="256">
        <v>56062</v>
      </c>
      <c r="AF10" s="256">
        <v>57539</v>
      </c>
      <c r="AG10" s="256">
        <v>59622</v>
      </c>
      <c r="AH10" s="256">
        <v>46636.154614500003</v>
      </c>
      <c r="AI10" s="256">
        <v>49688.871792213031</v>
      </c>
      <c r="AJ10" s="256">
        <v>49344.621405442973</v>
      </c>
      <c r="AK10" s="256">
        <v>51510</v>
      </c>
      <c r="AL10" s="256">
        <v>50962.805653000003</v>
      </c>
      <c r="AM10" s="256">
        <v>54198.194346999997</v>
      </c>
      <c r="AN10" s="256">
        <v>55479</v>
      </c>
      <c r="AO10" s="256">
        <v>59179</v>
      </c>
      <c r="AP10" s="256">
        <v>57973</v>
      </c>
      <c r="AQ10" s="256">
        <v>61788</v>
      </c>
      <c r="AR10" s="256">
        <v>64986</v>
      </c>
      <c r="AS10" s="256">
        <v>65458</v>
      </c>
      <c r="AT10" s="256">
        <v>66828</v>
      </c>
      <c r="AU10" s="256">
        <v>71303</v>
      </c>
      <c r="AV10" s="256">
        <v>73284</v>
      </c>
      <c r="AW10" s="256">
        <v>74018</v>
      </c>
      <c r="AX10" s="256">
        <v>74036</v>
      </c>
      <c r="AY10" s="256">
        <v>74240</v>
      </c>
      <c r="AZ10" s="256">
        <v>75926</v>
      </c>
      <c r="BA10" s="256">
        <v>75986</v>
      </c>
      <c r="BB10" s="256">
        <v>77606</v>
      </c>
      <c r="BC10" s="256">
        <v>80115</v>
      </c>
      <c r="BD10" s="2"/>
      <c r="BE10" s="2"/>
      <c r="BG10" s="35"/>
    </row>
    <row r="11" spans="1:64">
      <c r="A11" s="2"/>
      <c r="B11" s="88" t="s">
        <v>217</v>
      </c>
      <c r="C11" s="88"/>
      <c r="D11" s="88"/>
      <c r="E11" s="81"/>
      <c r="F11" s="81"/>
      <c r="G11" s="81"/>
      <c r="H11" s="81"/>
      <c r="I11" s="81"/>
      <c r="J11" s="81"/>
      <c r="K11" s="81"/>
      <c r="L11" s="81"/>
      <c r="M11" s="81"/>
      <c r="N11" s="81"/>
      <c r="O11" s="81"/>
      <c r="P11" s="81"/>
      <c r="Q11" s="81"/>
      <c r="R11" s="256">
        <v>27419.299862</v>
      </c>
      <c r="S11" s="256">
        <v>27911.313579000001</v>
      </c>
      <c r="T11" s="256">
        <v>27144</v>
      </c>
      <c r="U11" s="256">
        <v>26948</v>
      </c>
      <c r="V11" s="256">
        <v>27041.285202999999</v>
      </c>
      <c r="W11" s="256">
        <v>28597.714797000001</v>
      </c>
      <c r="X11" s="256">
        <v>24386</v>
      </c>
      <c r="Y11" s="256">
        <v>22761</v>
      </c>
      <c r="Z11" s="256">
        <v>25016</v>
      </c>
      <c r="AA11" s="256">
        <v>25603</v>
      </c>
      <c r="AB11" s="256">
        <v>19539</v>
      </c>
      <c r="AC11" s="256">
        <v>20288</v>
      </c>
      <c r="AD11" s="256">
        <v>21355</v>
      </c>
      <c r="AE11" s="256">
        <v>23294</v>
      </c>
      <c r="AF11" s="256">
        <v>24462</v>
      </c>
      <c r="AG11" s="256">
        <v>24410</v>
      </c>
      <c r="AH11" s="256">
        <v>25627</v>
      </c>
      <c r="AI11" s="256">
        <v>26389</v>
      </c>
      <c r="AJ11" s="256">
        <v>27109</v>
      </c>
      <c r="AK11" s="256">
        <v>28270</v>
      </c>
      <c r="AL11" s="256">
        <v>28011</v>
      </c>
      <c r="AM11" s="256">
        <v>29229</v>
      </c>
      <c r="AN11" s="256">
        <v>30632</v>
      </c>
      <c r="AO11" s="256">
        <v>15649</v>
      </c>
      <c r="AP11" s="256">
        <v>16166</v>
      </c>
      <c r="AQ11" s="256">
        <v>16708</v>
      </c>
      <c r="AR11" s="256">
        <v>17232</v>
      </c>
      <c r="AS11" s="256">
        <v>17505</v>
      </c>
      <c r="AT11" s="256">
        <v>18698</v>
      </c>
      <c r="AU11" s="256">
        <v>19310</v>
      </c>
      <c r="AV11" s="256">
        <v>19352</v>
      </c>
      <c r="AW11" s="256">
        <v>18847</v>
      </c>
      <c r="AX11" s="256">
        <v>19972</v>
      </c>
      <c r="AY11" s="256">
        <v>18144</v>
      </c>
      <c r="AZ11" s="256">
        <v>18568</v>
      </c>
      <c r="BA11" s="256">
        <v>18501</v>
      </c>
      <c r="BB11" s="256">
        <v>19084</v>
      </c>
      <c r="BC11" s="256">
        <v>18211</v>
      </c>
      <c r="BD11" s="2"/>
      <c r="BE11" s="2"/>
      <c r="BG11" s="35"/>
    </row>
    <row r="12" spans="1:64">
      <c r="A12" s="2"/>
      <c r="B12" s="88" t="s">
        <v>218</v>
      </c>
      <c r="C12" s="88"/>
      <c r="D12" s="88"/>
      <c r="E12" s="81"/>
      <c r="F12" s="81"/>
      <c r="G12" s="81"/>
      <c r="H12" s="81"/>
      <c r="I12" s="81"/>
      <c r="J12" s="81"/>
      <c r="K12" s="81"/>
      <c r="L12" s="81"/>
      <c r="M12" s="81"/>
      <c r="N12" s="81"/>
      <c r="O12" s="81"/>
      <c r="P12" s="81"/>
      <c r="Q12" s="81"/>
      <c r="R12" s="256">
        <v>23101.330961</v>
      </c>
      <c r="S12" s="256">
        <v>23271.613174999999</v>
      </c>
      <c r="T12" s="256">
        <v>23506</v>
      </c>
      <c r="U12" s="256">
        <v>25049</v>
      </c>
      <c r="V12" s="256">
        <v>25498.850362000001</v>
      </c>
      <c r="W12" s="256">
        <v>24143.149637999999</v>
      </c>
      <c r="X12" s="256">
        <v>22267.999999999996</v>
      </c>
      <c r="Y12" s="256">
        <v>20849.999999999996</v>
      </c>
      <c r="Z12" s="256">
        <v>20820</v>
      </c>
      <c r="AA12" s="256">
        <v>19720</v>
      </c>
      <c r="AB12" s="256">
        <v>17542</v>
      </c>
      <c r="AC12" s="256">
        <v>17476</v>
      </c>
      <c r="AD12" s="256">
        <v>16972</v>
      </c>
      <c r="AE12" s="256">
        <v>17697</v>
      </c>
      <c r="AF12" s="256">
        <v>17469</v>
      </c>
      <c r="AG12" s="256">
        <v>17288</v>
      </c>
      <c r="AH12" s="256">
        <v>18391</v>
      </c>
      <c r="AI12" s="256">
        <v>16995</v>
      </c>
      <c r="AJ12" s="256">
        <v>17877</v>
      </c>
      <c r="AK12" s="256">
        <v>20569</v>
      </c>
      <c r="AL12" s="256">
        <v>20766.163288</v>
      </c>
      <c r="AM12" s="256">
        <v>22353.836712</v>
      </c>
      <c r="AN12" s="256">
        <v>22951.999999999996</v>
      </c>
      <c r="AO12" s="256">
        <v>25011.904949</v>
      </c>
      <c r="AP12" s="256">
        <v>26455</v>
      </c>
      <c r="AQ12" s="256">
        <v>26794</v>
      </c>
      <c r="AR12" s="256">
        <v>27298</v>
      </c>
      <c r="AS12" s="256">
        <v>30089</v>
      </c>
      <c r="AT12" s="256">
        <v>31306</v>
      </c>
      <c r="AU12" s="256">
        <v>29511</v>
      </c>
      <c r="AV12" s="256">
        <v>28421</v>
      </c>
      <c r="AW12" s="256">
        <v>28279</v>
      </c>
      <c r="AX12" s="256">
        <v>29403</v>
      </c>
      <c r="AY12" s="256">
        <v>29643</v>
      </c>
      <c r="AZ12" s="256">
        <v>30205</v>
      </c>
      <c r="BA12" s="256">
        <v>31107</v>
      </c>
      <c r="BB12" s="256">
        <v>31564</v>
      </c>
      <c r="BC12" s="256">
        <v>34658</v>
      </c>
      <c r="BD12" s="2"/>
      <c r="BE12" s="2"/>
      <c r="BG12" s="35"/>
    </row>
    <row r="13" spans="1:64" ht="8.25" customHeight="1">
      <c r="A13" s="2"/>
      <c r="B13" s="89"/>
      <c r="C13" s="89"/>
      <c r="D13" s="89"/>
      <c r="E13" s="81"/>
      <c r="F13" s="81"/>
      <c r="G13" s="81"/>
      <c r="H13" s="81"/>
      <c r="I13" s="81"/>
      <c r="J13" s="81"/>
      <c r="K13" s="81"/>
      <c r="L13" s="81"/>
      <c r="M13" s="81"/>
      <c r="N13" s="81"/>
      <c r="O13" s="81"/>
      <c r="P13" s="81"/>
      <c r="Q13" s="81"/>
      <c r="R13" s="256">
        <v>0</v>
      </c>
      <c r="S13" s="256">
        <v>0</v>
      </c>
      <c r="T13" s="256">
        <v>0</v>
      </c>
      <c r="U13" s="256">
        <v>0</v>
      </c>
      <c r="V13" s="256">
        <v>0</v>
      </c>
      <c r="W13" s="256">
        <v>0</v>
      </c>
      <c r="X13" s="256">
        <v>0</v>
      </c>
      <c r="Y13" s="256">
        <v>0</v>
      </c>
      <c r="Z13" s="256"/>
      <c r="AA13" s="256"/>
      <c r="AB13" s="256">
        <v>0</v>
      </c>
      <c r="AC13" s="256">
        <v>0</v>
      </c>
      <c r="AD13" s="256">
        <v>0</v>
      </c>
      <c r="AE13" s="256">
        <v>0</v>
      </c>
      <c r="AF13" s="256">
        <v>0</v>
      </c>
      <c r="AG13" s="256">
        <v>0</v>
      </c>
      <c r="AH13" s="256">
        <v>0</v>
      </c>
      <c r="AI13" s="256">
        <v>0</v>
      </c>
      <c r="AJ13" s="256">
        <v>0</v>
      </c>
      <c r="AK13" s="256">
        <v>0</v>
      </c>
      <c r="AL13" s="256">
        <v>0</v>
      </c>
      <c r="AM13" s="256">
        <v>0</v>
      </c>
      <c r="AN13" s="256">
        <v>0</v>
      </c>
      <c r="AO13" s="256">
        <v>0</v>
      </c>
      <c r="AP13" s="256">
        <v>0</v>
      </c>
      <c r="AQ13" s="256">
        <v>0</v>
      </c>
      <c r="AR13" s="256">
        <v>0</v>
      </c>
      <c r="AS13" s="256"/>
      <c r="AT13" s="256">
        <v>0</v>
      </c>
      <c r="AU13" s="256">
        <v>0</v>
      </c>
      <c r="AV13" s="256">
        <v>0</v>
      </c>
      <c r="AW13" s="256"/>
      <c r="AX13" s="256">
        <v>0</v>
      </c>
      <c r="AY13" s="256">
        <v>0</v>
      </c>
      <c r="AZ13" s="256">
        <v>0</v>
      </c>
      <c r="BA13" s="256"/>
      <c r="BB13" s="256"/>
      <c r="BC13" s="256"/>
      <c r="BD13" s="2"/>
      <c r="BE13" s="2"/>
      <c r="BG13" s="35"/>
    </row>
    <row r="14" spans="1:64">
      <c r="A14" s="2"/>
      <c r="B14" s="88" t="s">
        <v>219</v>
      </c>
      <c r="C14" s="88"/>
      <c r="D14" s="88"/>
      <c r="E14" s="81"/>
      <c r="F14" s="81"/>
      <c r="G14" s="81"/>
      <c r="H14" s="81"/>
      <c r="I14" s="81"/>
      <c r="J14" s="81"/>
      <c r="K14" s="81"/>
      <c r="L14" s="81"/>
      <c r="M14" s="81"/>
      <c r="N14" s="81"/>
      <c r="O14" s="81"/>
      <c r="P14" s="81"/>
      <c r="Q14" s="81"/>
      <c r="R14" s="256">
        <v>12068.482724</v>
      </c>
      <c r="S14" s="256">
        <v>12459.495413999999</v>
      </c>
      <c r="T14" s="256">
        <v>12175</v>
      </c>
      <c r="U14" s="256">
        <v>12405</v>
      </c>
      <c r="V14" s="256">
        <v>11144.376263</v>
      </c>
      <c r="W14" s="256">
        <v>10857.623737</v>
      </c>
      <c r="X14" s="256">
        <v>10531.999999999998</v>
      </c>
      <c r="Y14" s="256">
        <v>10497.999999999998</v>
      </c>
      <c r="Z14" s="256">
        <v>10147</v>
      </c>
      <c r="AA14" s="256">
        <v>10089</v>
      </c>
      <c r="AB14" s="256">
        <v>9586</v>
      </c>
      <c r="AC14" s="256">
        <v>9949</v>
      </c>
      <c r="AD14" s="256">
        <v>9656</v>
      </c>
      <c r="AE14" s="256">
        <v>9360</v>
      </c>
      <c r="AF14" s="256">
        <v>9530</v>
      </c>
      <c r="AG14" s="256">
        <v>9429</v>
      </c>
      <c r="AH14" s="256">
        <v>8641</v>
      </c>
      <c r="AI14" s="256">
        <v>9464</v>
      </c>
      <c r="AJ14" s="256">
        <v>9651</v>
      </c>
      <c r="AK14" s="256">
        <v>9520</v>
      </c>
      <c r="AL14" s="256">
        <v>10725.285861</v>
      </c>
      <c r="AM14" s="256">
        <v>10171.714139</v>
      </c>
      <c r="AN14" s="256">
        <v>10260</v>
      </c>
      <c r="AO14" s="256">
        <v>9989</v>
      </c>
      <c r="AP14" s="256">
        <v>10345</v>
      </c>
      <c r="AQ14" s="256">
        <v>11010</v>
      </c>
      <c r="AR14" s="256">
        <v>11336</v>
      </c>
      <c r="AS14" s="256">
        <v>11642</v>
      </c>
      <c r="AT14" s="256">
        <v>11235</v>
      </c>
      <c r="AU14" s="256">
        <v>12086</v>
      </c>
      <c r="AV14" s="256">
        <v>12353</v>
      </c>
      <c r="AW14" s="256">
        <v>12634</v>
      </c>
      <c r="AX14" s="256">
        <v>12572</v>
      </c>
      <c r="AY14" s="256">
        <v>13790</v>
      </c>
      <c r="AZ14" s="256">
        <v>13230</v>
      </c>
      <c r="BA14" s="256">
        <v>13639</v>
      </c>
      <c r="BB14" s="256">
        <v>13727.5</v>
      </c>
      <c r="BC14" s="256">
        <v>14966</v>
      </c>
      <c r="BD14" s="2"/>
      <c r="BE14" s="2"/>
      <c r="BG14" s="35"/>
    </row>
    <row r="15" spans="1:64">
      <c r="A15" s="2"/>
      <c r="B15" s="88" t="s">
        <v>220</v>
      </c>
      <c r="C15" s="88"/>
      <c r="D15" s="88"/>
      <c r="E15" s="90"/>
      <c r="F15" s="90"/>
      <c r="G15" s="90"/>
      <c r="H15" s="90"/>
      <c r="I15" s="90"/>
      <c r="J15" s="90"/>
      <c r="K15" s="90"/>
      <c r="L15" s="90"/>
      <c r="M15" s="90"/>
      <c r="N15" s="90"/>
      <c r="O15" s="90"/>
      <c r="P15" s="90"/>
      <c r="Q15" s="90"/>
      <c r="R15" s="256">
        <v>23683.955105000001</v>
      </c>
      <c r="S15" s="256">
        <v>23515.747315000001</v>
      </c>
      <c r="T15" s="256">
        <v>24303</v>
      </c>
      <c r="U15" s="256">
        <v>23358</v>
      </c>
      <c r="V15" s="256">
        <v>19904.246550999997</v>
      </c>
      <c r="W15" s="256">
        <v>18012.026143000003</v>
      </c>
      <c r="X15" s="256">
        <v>16549.927881000003</v>
      </c>
      <c r="Y15" s="256">
        <v>16933.799424999997</v>
      </c>
      <c r="Z15" s="256">
        <v>15365</v>
      </c>
      <c r="AA15" s="256">
        <v>14104</v>
      </c>
      <c r="AB15" s="256">
        <v>15902</v>
      </c>
      <c r="AC15" s="256">
        <v>14118.122683716247</v>
      </c>
      <c r="AD15" s="256">
        <v>10144</v>
      </c>
      <c r="AE15" s="256">
        <v>12912</v>
      </c>
      <c r="AF15" s="256">
        <v>13442</v>
      </c>
      <c r="AG15" s="256">
        <v>10408</v>
      </c>
      <c r="AH15" s="256">
        <v>8386.0822045700006</v>
      </c>
      <c r="AI15" s="256">
        <v>7580.9177954299994</v>
      </c>
      <c r="AJ15" s="256">
        <v>9003</v>
      </c>
      <c r="AK15" s="256">
        <v>9335</v>
      </c>
      <c r="AL15" s="256">
        <v>7278.5849699999999</v>
      </c>
      <c r="AM15" s="256">
        <v>8722.4150300000001</v>
      </c>
      <c r="AN15" s="256">
        <v>10524</v>
      </c>
      <c r="AO15" s="256">
        <v>11484</v>
      </c>
      <c r="AP15" s="256">
        <v>10613</v>
      </c>
      <c r="AQ15" s="256">
        <v>12670</v>
      </c>
      <c r="AR15" s="256">
        <v>14425</v>
      </c>
      <c r="AS15" s="256">
        <v>15327</v>
      </c>
      <c r="AT15" s="256">
        <v>15669</v>
      </c>
      <c r="AU15" s="256">
        <v>17823</v>
      </c>
      <c r="AV15" s="256">
        <v>19118</v>
      </c>
      <c r="AW15" s="256">
        <v>19844</v>
      </c>
      <c r="AX15" s="256">
        <v>26991.663039999999</v>
      </c>
      <c r="AY15" s="256">
        <v>26568.489020000001</v>
      </c>
      <c r="AZ15" s="256">
        <v>27252.933399999987</v>
      </c>
      <c r="BA15" s="256">
        <v>27069.938100000021</v>
      </c>
      <c r="BB15" s="256">
        <v>27157</v>
      </c>
      <c r="BC15" s="256">
        <v>28824</v>
      </c>
      <c r="BD15" s="2"/>
      <c r="BE15" s="2"/>
      <c r="BG15" s="35"/>
    </row>
    <row r="16" spans="1:64">
      <c r="A16" s="2"/>
      <c r="B16" s="88" t="s">
        <v>221</v>
      </c>
      <c r="C16" s="88"/>
      <c r="D16" s="88"/>
      <c r="E16" s="82"/>
      <c r="F16" s="82"/>
      <c r="G16" s="82"/>
      <c r="H16" s="82"/>
      <c r="I16" s="82"/>
      <c r="J16" s="82"/>
      <c r="K16" s="82"/>
      <c r="L16" s="82"/>
      <c r="M16" s="82"/>
      <c r="N16" s="82"/>
      <c r="O16" s="82"/>
      <c r="P16" s="82"/>
      <c r="Q16" s="82"/>
      <c r="R16" s="257">
        <v>16460.148997</v>
      </c>
      <c r="S16" s="257">
        <v>15992.729618999998</v>
      </c>
      <c r="T16" s="257">
        <v>15843</v>
      </c>
      <c r="U16" s="257">
        <v>16972</v>
      </c>
      <c r="V16" s="257">
        <v>22438.189828999999</v>
      </c>
      <c r="W16" s="257">
        <v>19568.141519000001</v>
      </c>
      <c r="X16" s="257">
        <v>22171.327631999997</v>
      </c>
      <c r="Y16" s="257">
        <v>18075.313909478016</v>
      </c>
      <c r="Z16" s="257">
        <v>19037</v>
      </c>
      <c r="AA16" s="257">
        <v>18561</v>
      </c>
      <c r="AB16" s="257">
        <v>18564</v>
      </c>
      <c r="AC16" s="257">
        <v>17141.641030218008</v>
      </c>
      <c r="AD16" s="257">
        <v>21929.751419288998</v>
      </c>
      <c r="AE16" s="257">
        <v>22465.289240213006</v>
      </c>
      <c r="AF16" s="257">
        <v>20570.175721169999</v>
      </c>
      <c r="AG16" s="257">
        <v>18549</v>
      </c>
      <c r="AH16" s="257">
        <v>17356.63823882</v>
      </c>
      <c r="AI16" s="257">
        <v>12823.36176118</v>
      </c>
      <c r="AJ16" s="257">
        <v>14028</v>
      </c>
      <c r="AK16" s="257">
        <v>14808</v>
      </c>
      <c r="AL16" s="257">
        <v>15987.960107999999</v>
      </c>
      <c r="AM16" s="257">
        <v>15232.039892000001</v>
      </c>
      <c r="AN16" s="257">
        <v>14801</v>
      </c>
      <c r="AO16" s="257">
        <v>12840.658017000002</v>
      </c>
      <c r="AP16" s="257">
        <v>17181</v>
      </c>
      <c r="AQ16" s="257">
        <v>16189</v>
      </c>
      <c r="AR16" s="257">
        <v>16361</v>
      </c>
      <c r="AS16" s="257">
        <v>14579</v>
      </c>
      <c r="AT16" s="257">
        <v>19016</v>
      </c>
      <c r="AU16" s="257">
        <v>19297</v>
      </c>
      <c r="AV16" s="257">
        <v>20984</v>
      </c>
      <c r="AW16" s="257">
        <v>19497</v>
      </c>
      <c r="AX16" s="257">
        <v>15440.336960000001</v>
      </c>
      <c r="AY16" s="257">
        <v>12915.510979999999</v>
      </c>
      <c r="AZ16" s="257">
        <v>15665.066599999998</v>
      </c>
      <c r="BA16" s="257">
        <v>16040.061900000015</v>
      </c>
      <c r="BB16" s="257">
        <v>18849</v>
      </c>
      <c r="BC16" s="257">
        <v>19497</v>
      </c>
      <c r="BD16" s="2"/>
      <c r="BE16" s="2"/>
      <c r="BG16" s="35"/>
    </row>
    <row r="17" spans="1:65" ht="9.75" customHeight="1">
      <c r="A17" s="2"/>
      <c r="B17" s="127"/>
      <c r="C17" s="127"/>
      <c r="D17" s="127"/>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c r="AT17" s="81"/>
      <c r="AU17" s="81"/>
      <c r="AV17" s="81"/>
      <c r="AW17" s="81"/>
      <c r="AX17" s="81"/>
      <c r="AY17" s="81"/>
      <c r="AZ17" s="81"/>
      <c r="BA17" s="81"/>
      <c r="BB17" s="81"/>
      <c r="BC17" s="81"/>
      <c r="BD17" s="2"/>
      <c r="BE17" s="2"/>
      <c r="BG17" s="35"/>
    </row>
    <row r="18" spans="1:65">
      <c r="A18" s="2"/>
      <c r="B18" s="128" t="s">
        <v>222</v>
      </c>
      <c r="C18" s="128"/>
      <c r="D18" s="128"/>
      <c r="E18" s="86">
        <v>125059</v>
      </c>
      <c r="F18" s="86">
        <v>135132</v>
      </c>
      <c r="G18" s="86">
        <v>139322</v>
      </c>
      <c r="H18" s="86">
        <v>140698</v>
      </c>
      <c r="I18" s="86">
        <v>139734</v>
      </c>
      <c r="J18" s="86">
        <v>137546</v>
      </c>
      <c r="K18" s="86">
        <v>145107</v>
      </c>
      <c r="L18" s="86">
        <v>148673</v>
      </c>
      <c r="M18" s="86">
        <v>149539</v>
      </c>
      <c r="N18" s="86">
        <v>152855</v>
      </c>
      <c r="O18" s="86">
        <v>151563.76598823341</v>
      </c>
      <c r="P18" s="86">
        <v>154424</v>
      </c>
      <c r="Q18" s="86">
        <v>149275.4117482861</v>
      </c>
      <c r="R18" s="86">
        <v>154246</v>
      </c>
      <c r="S18" s="86">
        <v>156017</v>
      </c>
      <c r="T18" s="86">
        <v>156521</v>
      </c>
      <c r="U18" s="86">
        <v>158476</v>
      </c>
      <c r="V18" s="86">
        <v>159984</v>
      </c>
      <c r="W18" s="86">
        <v>152113</v>
      </c>
      <c r="X18" s="86">
        <v>148542</v>
      </c>
      <c r="Y18" s="86">
        <v>140746</v>
      </c>
      <c r="Z18" s="86">
        <f>SUM(Z10:Z16)</f>
        <v>141997</v>
      </c>
      <c r="AA18" s="86">
        <f>SUM(AA10:AA16)</f>
        <v>138549</v>
      </c>
      <c r="AB18" s="86">
        <v>128498</v>
      </c>
      <c r="AC18" s="86">
        <v>127044</v>
      </c>
      <c r="AD18" s="86">
        <v>130734</v>
      </c>
      <c r="AE18" s="86">
        <v>141790</v>
      </c>
      <c r="AF18" s="86">
        <f t="shared" ref="AF18:AK18" si="10">SUM(AF10:AF16)</f>
        <v>143012.17572117</v>
      </c>
      <c r="AG18" s="86">
        <f t="shared" si="10"/>
        <v>139706</v>
      </c>
      <c r="AH18" s="86">
        <f t="shared" si="10"/>
        <v>125037.87505789001</v>
      </c>
      <c r="AI18" s="86">
        <f t="shared" si="10"/>
        <v>122941.15134882303</v>
      </c>
      <c r="AJ18" s="86">
        <f t="shared" si="10"/>
        <v>127012.62140544297</v>
      </c>
      <c r="AK18" s="86">
        <f t="shared" si="10"/>
        <v>134012</v>
      </c>
      <c r="AL18" s="86">
        <f t="shared" ref="AL18:AO18" si="11">SUM(AL10:AL16)</f>
        <v>133731.79988000001</v>
      </c>
      <c r="AM18" s="86">
        <f t="shared" si="11"/>
        <v>139907.20011999999</v>
      </c>
      <c r="AN18" s="86">
        <f t="shared" ref="AN18" si="12">SUM(AN10:AN16)</f>
        <v>144648</v>
      </c>
      <c r="AO18" s="86">
        <f t="shared" si="11"/>
        <v>134153.562966</v>
      </c>
      <c r="AP18" s="86">
        <f t="shared" ref="AP18:AQ18" si="13">SUM(AP10:AP16)</f>
        <v>138733</v>
      </c>
      <c r="AQ18" s="86">
        <f t="shared" si="13"/>
        <v>145159</v>
      </c>
      <c r="AR18" s="86">
        <f t="shared" ref="AR18:AS18" si="14">SUM(AR10:AR16)</f>
        <v>151638</v>
      </c>
      <c r="AS18" s="86">
        <f t="shared" si="14"/>
        <v>154600</v>
      </c>
      <c r="AT18" s="86">
        <f t="shared" ref="AT18:AU18" si="15">SUM(AT10:AT16)</f>
        <v>162752</v>
      </c>
      <c r="AU18" s="86">
        <f t="shared" si="15"/>
        <v>169330</v>
      </c>
      <c r="AV18" s="86">
        <f t="shared" ref="AV18:AW18" si="16">SUM(AV10:AV16)</f>
        <v>173512</v>
      </c>
      <c r="AW18" s="86">
        <f t="shared" si="16"/>
        <v>173119</v>
      </c>
      <c r="AX18" s="86">
        <f t="shared" ref="AX18:AY18" si="17">SUM(AX10:AX16)</f>
        <v>178415</v>
      </c>
      <c r="AY18" s="86">
        <f t="shared" si="17"/>
        <v>175301</v>
      </c>
      <c r="AZ18" s="86">
        <f t="shared" ref="AZ18:BA18" si="18">SUM(AZ10:AZ16)</f>
        <v>180846.99999999997</v>
      </c>
      <c r="BA18" s="86">
        <f t="shared" si="18"/>
        <v>182343.00000000006</v>
      </c>
      <c r="BB18" s="86">
        <f t="shared" ref="BB18:BC18" si="19">SUM(BB10:BB16)</f>
        <v>187987.5</v>
      </c>
      <c r="BC18" s="86">
        <f t="shared" si="19"/>
        <v>196271</v>
      </c>
      <c r="BD18" s="2"/>
      <c r="BE18" s="13"/>
      <c r="BF18" s="74"/>
      <c r="BG18" s="35"/>
    </row>
    <row r="19" spans="1:65" ht="5.25" customHeight="1">
      <c r="A19" s="2"/>
      <c r="B19" s="85"/>
      <c r="C19" s="85"/>
      <c r="D19" s="85"/>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W19" s="81"/>
      <c r="AX19" s="81"/>
      <c r="AY19" s="81"/>
      <c r="AZ19" s="81"/>
      <c r="BA19" s="81"/>
      <c r="BB19" s="81"/>
      <c r="BC19" s="81"/>
      <c r="BD19" s="91"/>
      <c r="BE19" s="13"/>
      <c r="BF19" s="74"/>
      <c r="BG19" s="35"/>
    </row>
    <row r="20" spans="1:65" ht="9.75" customHeight="1">
      <c r="A20" s="2"/>
      <c r="B20" s="92"/>
      <c r="C20" s="92"/>
      <c r="D20" s="92"/>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81"/>
      <c r="BC20" s="81"/>
      <c r="BD20" s="93"/>
      <c r="BE20" s="13"/>
      <c r="BF20" s="32"/>
      <c r="BG20" s="35"/>
      <c r="BI20" s="32"/>
    </row>
    <row r="21" spans="1:65">
      <c r="A21" s="2"/>
      <c r="B21" s="94" t="s">
        <v>37</v>
      </c>
      <c r="C21" s="94"/>
      <c r="D21" s="94"/>
      <c r="E21" s="86">
        <v>62329</v>
      </c>
      <c r="F21" s="86">
        <v>58487</v>
      </c>
      <c r="G21" s="86">
        <v>63508</v>
      </c>
      <c r="H21" s="86">
        <v>61839</v>
      </c>
      <c r="I21" s="86">
        <v>64870</v>
      </c>
      <c r="J21" s="86">
        <v>65449</v>
      </c>
      <c r="K21" s="86">
        <v>68321</v>
      </c>
      <c r="L21" s="86">
        <v>70934</v>
      </c>
      <c r="M21" s="86">
        <v>73066</v>
      </c>
      <c r="N21" s="86">
        <v>77200</v>
      </c>
      <c r="O21" s="86">
        <f>O7-O18</f>
        <v>77053.234011766588</v>
      </c>
      <c r="P21" s="86">
        <f>P7-P18</f>
        <v>77857</v>
      </c>
      <c r="Q21" s="86">
        <f>Q7-Q18</f>
        <v>81122.588251713896</v>
      </c>
      <c r="R21" s="132">
        <f>R7-R18</f>
        <v>82562</v>
      </c>
      <c r="S21" s="131">
        <f>S7-S18</f>
        <v>82502</v>
      </c>
      <c r="T21" s="131">
        <v>84513</v>
      </c>
      <c r="U21" s="131">
        <v>91355</v>
      </c>
      <c r="V21" s="131">
        <v>95745</v>
      </c>
      <c r="W21" s="131">
        <v>94602</v>
      </c>
      <c r="X21" s="131">
        <v>85097</v>
      </c>
      <c r="Y21" s="131">
        <v>79060</v>
      </c>
      <c r="Z21" s="131">
        <v>78070</v>
      </c>
      <c r="AA21" s="131">
        <v>79773</v>
      </c>
      <c r="AB21" s="131">
        <v>75384</v>
      </c>
      <c r="AC21" s="131">
        <v>70052</v>
      </c>
      <c r="AD21" s="131">
        <v>68255</v>
      </c>
      <c r="AE21" s="131">
        <v>63129</v>
      </c>
      <c r="AF21" s="131">
        <f t="shared" ref="AF21:AK21" si="20">AF7-AF18</f>
        <v>59973.824278829998</v>
      </c>
      <c r="AG21" s="131">
        <f t="shared" si="20"/>
        <v>66862</v>
      </c>
      <c r="AH21" s="131">
        <f t="shared" si="20"/>
        <v>85286.124942109993</v>
      </c>
      <c r="AI21" s="131">
        <f t="shared" si="20"/>
        <v>91837.848651176973</v>
      </c>
      <c r="AJ21" s="131">
        <f t="shared" si="20"/>
        <v>96173.378594557027</v>
      </c>
      <c r="AK21" s="131">
        <f t="shared" si="20"/>
        <v>104373</v>
      </c>
      <c r="AL21" s="131">
        <f t="shared" ref="AL21:AO21" si="21">AL7-AL18</f>
        <v>103237.369939</v>
      </c>
      <c r="AM21" s="131">
        <f t="shared" si="21"/>
        <v>111727.630061</v>
      </c>
      <c r="AN21" s="131">
        <f t="shared" ref="AN21" si="22">AN7-AN18</f>
        <v>121022</v>
      </c>
      <c r="AO21" s="131">
        <f t="shared" si="21"/>
        <v>124158.73703399999</v>
      </c>
      <c r="AP21" s="131">
        <f t="shared" ref="AP21:AQ21" si="23">AP7-AP18</f>
        <v>131901</v>
      </c>
      <c r="AQ21" s="131">
        <f t="shared" si="23"/>
        <v>139193</v>
      </c>
      <c r="AR21" s="131">
        <f t="shared" ref="AR21:AS21" si="24">AR7-AR18</f>
        <v>148999</v>
      </c>
      <c r="AS21" s="131">
        <f t="shared" si="24"/>
        <v>160589</v>
      </c>
      <c r="AT21" s="131">
        <f t="shared" ref="AT21:AU21" si="25">AT7-AT18</f>
        <v>167216</v>
      </c>
      <c r="AU21" s="131">
        <f t="shared" si="25"/>
        <v>177957</v>
      </c>
      <c r="AV21" s="131">
        <f t="shared" ref="AV21:AW21" si="26">AV7-AV18</f>
        <v>187108</v>
      </c>
      <c r="AW21" s="131">
        <f t="shared" si="26"/>
        <v>189820</v>
      </c>
      <c r="AX21" s="131">
        <f t="shared" ref="AX21:AY21" si="27">AX7-AX18</f>
        <v>199468</v>
      </c>
      <c r="AY21" s="131">
        <f t="shared" si="27"/>
        <v>198441</v>
      </c>
      <c r="AZ21" s="131">
        <f t="shared" ref="AZ21:BA21" si="28">AZ7-AZ18</f>
        <v>202546.00000000003</v>
      </c>
      <c r="BA21" s="131">
        <f t="shared" si="28"/>
        <v>196816.99999999994</v>
      </c>
      <c r="BB21" s="131">
        <f t="shared" ref="BB21:BC21" si="29">BB7-BB18</f>
        <v>200711.5</v>
      </c>
      <c r="BC21" s="131">
        <f t="shared" si="29"/>
        <v>221009</v>
      </c>
      <c r="BD21" s="93"/>
      <c r="BE21" s="248"/>
      <c r="BF21" s="75"/>
      <c r="BG21" s="450"/>
      <c r="BI21" s="74"/>
      <c r="BK21" s="32"/>
      <c r="BL21" s="76"/>
    </row>
    <row r="22" spans="1:65">
      <c r="A22" s="2"/>
      <c r="B22" s="85"/>
      <c r="C22" s="85"/>
      <c r="D22" s="85"/>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283"/>
      <c r="AE22" s="283"/>
      <c r="AF22" s="283"/>
      <c r="AG22" s="283"/>
      <c r="AH22" s="283"/>
      <c r="AI22" s="283"/>
      <c r="AJ22" s="244">
        <f t="shared" ref="AJ22:AW22" si="30">AJ21/AJ7</f>
        <v>0.43091134118877095</v>
      </c>
      <c r="AK22" s="244">
        <f t="shared" si="30"/>
        <v>0.43783375631856031</v>
      </c>
      <c r="AL22" s="244">
        <f t="shared" si="30"/>
        <v>0.43565738959989597</v>
      </c>
      <c r="AM22" s="244">
        <f t="shared" si="30"/>
        <v>0.44400701596291237</v>
      </c>
      <c r="AN22" s="244">
        <f t="shared" si="30"/>
        <v>0.45553506229532881</v>
      </c>
      <c r="AO22" s="244">
        <f t="shared" si="30"/>
        <v>0.48065360044411354</v>
      </c>
      <c r="AP22" s="244">
        <f t="shared" si="30"/>
        <v>0.48737778697429002</v>
      </c>
      <c r="AQ22" s="244">
        <f t="shared" si="30"/>
        <v>0.48950948120639209</v>
      </c>
      <c r="AR22" s="244">
        <f t="shared" si="30"/>
        <v>0.49561098600637976</v>
      </c>
      <c r="AS22" s="244">
        <f t="shared" si="30"/>
        <v>0.50950064881705892</v>
      </c>
      <c r="AT22" s="244">
        <f t="shared" si="30"/>
        <v>0.50676429229501041</v>
      </c>
      <c r="AU22" s="244">
        <f t="shared" si="30"/>
        <v>0.51242056281980031</v>
      </c>
      <c r="AV22" s="244">
        <f t="shared" si="30"/>
        <v>0.5188508679496423</v>
      </c>
      <c r="AW22" s="244">
        <f t="shared" si="30"/>
        <v>0.52300799858929459</v>
      </c>
      <c r="AX22" s="244">
        <f>AX21/AX7</f>
        <v>0.52785650584969424</v>
      </c>
      <c r="AY22" s="244">
        <f t="shared" ref="AY22:AZ22" si="31">AY21/AY7</f>
        <v>0.53095718436782591</v>
      </c>
      <c r="AZ22" s="244">
        <f t="shared" si="31"/>
        <v>0.52829863873362326</v>
      </c>
      <c r="BA22" s="244">
        <f t="shared" ref="BA22:BB22" si="32">BA21/BA7</f>
        <v>0.51908692900094933</v>
      </c>
      <c r="BB22" s="244">
        <f t="shared" si="32"/>
        <v>0.51636742054906237</v>
      </c>
      <c r="BC22" s="244">
        <f t="shared" ref="BC22" si="33">BC21/BC7</f>
        <v>0.52964196702453992</v>
      </c>
      <c r="BD22" s="93"/>
      <c r="BE22" s="13"/>
      <c r="BF22" s="32"/>
      <c r="BG22" s="35"/>
      <c r="BK22" s="32"/>
    </row>
    <row r="23" spans="1:65">
      <c r="A23" s="2"/>
      <c r="B23" s="92"/>
      <c r="C23" s="92"/>
      <c r="D23" s="92"/>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244">
        <f t="shared" ref="AT23:BC23" si="34">AT22-AP22</f>
        <v>1.9386505320720393E-2</v>
      </c>
      <c r="AU23" s="244">
        <f t="shared" si="34"/>
        <v>2.2911081613408213E-2</v>
      </c>
      <c r="AV23" s="244">
        <f t="shared" si="34"/>
        <v>2.3239881943262541E-2</v>
      </c>
      <c r="AW23" s="244">
        <f t="shared" si="34"/>
        <v>1.3507349772235666E-2</v>
      </c>
      <c r="AX23" s="244">
        <f>AX22-AT22</f>
        <v>2.1092213554683825E-2</v>
      </c>
      <c r="AY23" s="244">
        <f t="shared" si="34"/>
        <v>1.85366215480256E-2</v>
      </c>
      <c r="AZ23" s="244">
        <f t="shared" si="34"/>
        <v>9.4477707839809577E-3</v>
      </c>
      <c r="BA23" s="244">
        <f t="shared" si="34"/>
        <v>-3.9210695883452606E-3</v>
      </c>
      <c r="BB23" s="244">
        <f t="shared" si="34"/>
        <v>-1.1489085300631863E-2</v>
      </c>
      <c r="BC23" s="244">
        <f t="shared" si="34"/>
        <v>-1.3152173432859904E-3</v>
      </c>
      <c r="BD23" s="93"/>
      <c r="BE23" s="13"/>
      <c r="BF23" s="32"/>
      <c r="BG23" s="35"/>
      <c r="BL23" s="32"/>
      <c r="BM23" s="32"/>
    </row>
    <row r="24" spans="1:65">
      <c r="A24" s="2"/>
      <c r="B24" s="88" t="s">
        <v>223</v>
      </c>
      <c r="C24" s="88"/>
      <c r="D24" s="88"/>
      <c r="E24" s="256">
        <v>18</v>
      </c>
      <c r="F24" s="256">
        <v>76</v>
      </c>
      <c r="G24" s="256">
        <v>0</v>
      </c>
      <c r="H24" s="256">
        <v>0</v>
      </c>
      <c r="I24" s="256">
        <v>0</v>
      </c>
      <c r="J24" s="256">
        <v>-822</v>
      </c>
      <c r="K24" s="256">
        <v>-1652</v>
      </c>
      <c r="L24" s="256">
        <v>-1064</v>
      </c>
      <c r="M24" s="256">
        <v>-1673</v>
      </c>
      <c r="N24" s="256">
        <v>-1578</v>
      </c>
      <c r="O24" s="256">
        <v>-1709</v>
      </c>
      <c r="P24" s="256">
        <v>-1800</v>
      </c>
      <c r="Q24" s="256">
        <v>-2136</v>
      </c>
      <c r="R24" s="256">
        <v>-2126</v>
      </c>
      <c r="S24" s="256">
        <v>-2404</v>
      </c>
      <c r="T24" s="256">
        <v>-2721</v>
      </c>
      <c r="U24" s="256">
        <v>-2915</v>
      </c>
      <c r="V24" s="256">
        <v>-2548</v>
      </c>
      <c r="W24" s="256">
        <v>-2697</v>
      </c>
      <c r="X24" s="256">
        <v>-2696</v>
      </c>
      <c r="Y24" s="256">
        <v>-2508</v>
      </c>
      <c r="Z24" s="256">
        <v>-2855</v>
      </c>
      <c r="AA24" s="256">
        <v>-3662</v>
      </c>
      <c r="AB24" s="256">
        <v>-2256</v>
      </c>
      <c r="AC24" s="256">
        <v>-1836</v>
      </c>
      <c r="AD24" s="256">
        <v>-1653</v>
      </c>
      <c r="AE24" s="256">
        <v>-1633</v>
      </c>
      <c r="AF24" s="256">
        <v>98</v>
      </c>
      <c r="AG24" s="256">
        <v>-368</v>
      </c>
      <c r="AH24" s="256">
        <v>-931</v>
      </c>
      <c r="AI24" s="256">
        <v>-3155</v>
      </c>
      <c r="AJ24" s="256">
        <v>-1523</v>
      </c>
      <c r="AK24" s="256">
        <v>1243</v>
      </c>
      <c r="AL24" s="256">
        <v>1070.3882090000002</v>
      </c>
      <c r="AM24" s="256">
        <v>2925.6117909999998</v>
      </c>
      <c r="AN24" s="256">
        <v>2206</v>
      </c>
      <c r="AO24" s="256">
        <v>-5274</v>
      </c>
      <c r="AP24" s="256">
        <v>-4947</v>
      </c>
      <c r="AQ24" s="256">
        <v>-5988</v>
      </c>
      <c r="AR24" s="256">
        <v>-6161</v>
      </c>
      <c r="AS24" s="256">
        <v>-7136</v>
      </c>
      <c r="AT24" s="256">
        <v>-1628</v>
      </c>
      <c r="AU24" s="256">
        <v>-3567</v>
      </c>
      <c r="AV24" s="256">
        <v>3684</v>
      </c>
      <c r="AW24" s="256">
        <v>-6010</v>
      </c>
      <c r="AX24" s="256">
        <v>-5899</v>
      </c>
      <c r="AY24" s="256">
        <v>-5860</v>
      </c>
      <c r="AZ24" s="256">
        <v>-7032</v>
      </c>
      <c r="BA24" s="256">
        <v>-8303</v>
      </c>
      <c r="BB24" s="256">
        <v>-9117</v>
      </c>
      <c r="BC24" s="256">
        <v>-10739</v>
      </c>
      <c r="BD24" s="93"/>
      <c r="BE24" s="13"/>
      <c r="BF24" s="73"/>
      <c r="BG24" s="35"/>
    </row>
    <row r="25" spans="1:65">
      <c r="A25" s="2"/>
      <c r="B25" s="89" t="s">
        <v>224</v>
      </c>
      <c r="C25" s="89"/>
      <c r="D25" s="89"/>
      <c r="E25" s="256">
        <v>34683</v>
      </c>
      <c r="F25" s="256">
        <v>37571</v>
      </c>
      <c r="G25" s="256">
        <v>38560</v>
      </c>
      <c r="H25" s="256">
        <v>39005</v>
      </c>
      <c r="I25" s="256">
        <v>39828</v>
      </c>
      <c r="J25" s="256">
        <v>38470</v>
      </c>
      <c r="K25" s="256">
        <v>39394</v>
      </c>
      <c r="L25" s="256">
        <v>39188</v>
      </c>
      <c r="M25" s="256">
        <v>39444</v>
      </c>
      <c r="N25" s="256">
        <v>40365</v>
      </c>
      <c r="O25" s="256">
        <v>38530</v>
      </c>
      <c r="P25" s="256">
        <v>38015</v>
      </c>
      <c r="Q25" s="256">
        <v>38401</v>
      </c>
      <c r="R25" s="256">
        <v>40404</v>
      </c>
      <c r="S25" s="256">
        <v>42390</v>
      </c>
      <c r="T25" s="256">
        <v>43541</v>
      </c>
      <c r="U25" s="256">
        <v>48163</v>
      </c>
      <c r="V25" s="256">
        <v>50402</v>
      </c>
      <c r="W25" s="256">
        <v>49560</v>
      </c>
      <c r="X25" s="256">
        <v>48350</v>
      </c>
      <c r="Y25" s="256">
        <v>49418</v>
      </c>
      <c r="Z25" s="256">
        <v>48192</v>
      </c>
      <c r="AA25" s="256">
        <v>46873</v>
      </c>
      <c r="AB25" s="256">
        <v>48375</v>
      </c>
      <c r="AC25" s="256">
        <v>48991</v>
      </c>
      <c r="AD25" s="256">
        <v>51542</v>
      </c>
      <c r="AE25" s="256">
        <v>52366</v>
      </c>
      <c r="AF25" s="256">
        <v>54723</v>
      </c>
      <c r="AG25" s="256">
        <v>54934</v>
      </c>
      <c r="AH25" s="256">
        <v>67587</v>
      </c>
      <c r="AI25" s="256">
        <v>69351</v>
      </c>
      <c r="AJ25" s="256">
        <v>69408</v>
      </c>
      <c r="AK25" s="256">
        <v>68615</v>
      </c>
      <c r="AL25" s="256">
        <v>71131.729533999998</v>
      </c>
      <c r="AM25" s="256">
        <v>72862.270466000002</v>
      </c>
      <c r="AN25" s="256">
        <v>75030.999999999985</v>
      </c>
      <c r="AO25" s="256">
        <v>75019.149871999965</v>
      </c>
      <c r="AP25" s="256">
        <v>77137</v>
      </c>
      <c r="AQ25" s="256">
        <v>82472</v>
      </c>
      <c r="AR25" s="256">
        <v>85472</v>
      </c>
      <c r="AS25" s="256">
        <v>85826</v>
      </c>
      <c r="AT25" s="256">
        <v>87814</v>
      </c>
      <c r="AU25" s="256">
        <v>89468</v>
      </c>
      <c r="AV25" s="256">
        <v>92977</v>
      </c>
      <c r="AW25" s="256">
        <v>94059</v>
      </c>
      <c r="AX25" s="256">
        <v>96538</v>
      </c>
      <c r="AY25" s="256">
        <v>97343</v>
      </c>
      <c r="AZ25" s="256">
        <v>100743</v>
      </c>
      <c r="BA25" s="256">
        <v>100752</v>
      </c>
      <c r="BB25" s="256">
        <v>105401</v>
      </c>
      <c r="BC25" s="256">
        <v>110000</v>
      </c>
      <c r="BD25" s="91"/>
      <c r="BE25" s="13"/>
      <c r="BF25" s="74"/>
      <c r="BG25" s="35"/>
      <c r="BI25" s="32"/>
    </row>
    <row r="26" spans="1:65">
      <c r="A26" s="2"/>
      <c r="B26" s="89" t="s">
        <v>225</v>
      </c>
      <c r="C26" s="89"/>
      <c r="D26" s="89"/>
      <c r="E26" s="256">
        <v>12295</v>
      </c>
      <c r="F26" s="256">
        <v>10829</v>
      </c>
      <c r="G26" s="256">
        <v>13819</v>
      </c>
      <c r="H26" s="256">
        <v>14246</v>
      </c>
      <c r="I26" s="256">
        <v>10583</v>
      </c>
      <c r="J26" s="256">
        <v>15889</v>
      </c>
      <c r="K26" s="256">
        <v>16957.362046000002</v>
      </c>
      <c r="L26" s="256">
        <v>13160</v>
      </c>
      <c r="M26" s="256">
        <v>14054</v>
      </c>
      <c r="N26" s="256">
        <v>15727</v>
      </c>
      <c r="O26" s="256">
        <v>-12383.282209000001</v>
      </c>
      <c r="P26" s="256">
        <v>18668.717790999999</v>
      </c>
      <c r="Q26" s="256">
        <v>26473</v>
      </c>
      <c r="R26" s="256">
        <v>24441</v>
      </c>
      <c r="S26" s="256">
        <v>29735</v>
      </c>
      <c r="T26" s="256">
        <v>19028</v>
      </c>
      <c r="U26" s="256">
        <v>27517</v>
      </c>
      <c r="V26" s="256">
        <v>25136</v>
      </c>
      <c r="W26" s="256">
        <v>24626</v>
      </c>
      <c r="X26" s="256">
        <v>33061</v>
      </c>
      <c r="Y26" s="256">
        <v>22717</v>
      </c>
      <c r="Z26" s="256">
        <v>22039</v>
      </c>
      <c r="AA26" s="256">
        <v>24916</v>
      </c>
      <c r="AB26" s="256">
        <v>24846</v>
      </c>
      <c r="AC26" s="256">
        <v>23902</v>
      </c>
      <c r="AD26" s="256">
        <v>25498</v>
      </c>
      <c r="AE26" s="256">
        <v>33034</v>
      </c>
      <c r="AF26" s="256">
        <v>28381</v>
      </c>
      <c r="AG26" s="256">
        <v>29156</v>
      </c>
      <c r="AH26" s="256">
        <v>33928</v>
      </c>
      <c r="AI26" s="256">
        <v>31872</v>
      </c>
      <c r="AJ26" s="256">
        <v>32816</v>
      </c>
      <c r="AK26" s="256">
        <v>41471</v>
      </c>
      <c r="AL26" s="256">
        <v>34670.614348000003</v>
      </c>
      <c r="AM26" s="256">
        <v>37914.385651999997</v>
      </c>
      <c r="AN26" s="256">
        <v>39719</v>
      </c>
      <c r="AO26" s="256">
        <v>38606</v>
      </c>
      <c r="AP26" s="256">
        <v>42257</v>
      </c>
      <c r="AQ26" s="256">
        <v>39641</v>
      </c>
      <c r="AR26" s="256">
        <v>43671</v>
      </c>
      <c r="AS26" s="256">
        <v>40593</v>
      </c>
      <c r="AT26" s="256">
        <v>45109</v>
      </c>
      <c r="AU26" s="256">
        <v>49403</v>
      </c>
      <c r="AV26" s="256">
        <v>46856</v>
      </c>
      <c r="AW26" s="256">
        <v>51631</v>
      </c>
      <c r="AX26" s="256">
        <v>56137</v>
      </c>
      <c r="AY26" s="256">
        <v>51858</v>
      </c>
      <c r="AZ26" s="256">
        <v>66449</v>
      </c>
      <c r="BA26" s="256">
        <v>52033</v>
      </c>
      <c r="BB26" s="256">
        <v>51524</v>
      </c>
      <c r="BC26" s="256">
        <v>54237</v>
      </c>
      <c r="BD26" s="2"/>
      <c r="BE26" s="13"/>
      <c r="BF26" s="256"/>
      <c r="BG26" s="35"/>
      <c r="BI26" s="74"/>
      <c r="BL26" s="34"/>
    </row>
    <row r="27" spans="1:65">
      <c r="A27" s="2"/>
      <c r="B27" s="89" t="s">
        <v>213</v>
      </c>
      <c r="C27" s="89"/>
      <c r="D27" s="89"/>
      <c r="E27" s="256">
        <v>-1723</v>
      </c>
      <c r="F27" s="256">
        <v>-2618</v>
      </c>
      <c r="G27" s="256">
        <v>-3600</v>
      </c>
      <c r="H27" s="256">
        <v>-927</v>
      </c>
      <c r="I27" s="256">
        <v>1512</v>
      </c>
      <c r="J27" s="256">
        <v>-4213</v>
      </c>
      <c r="K27" s="256">
        <v>-846</v>
      </c>
      <c r="L27" s="256">
        <v>-2478.3620460000002</v>
      </c>
      <c r="M27" s="256">
        <v>-4142.839438</v>
      </c>
      <c r="N27" s="256">
        <v>-6161.8794980000002</v>
      </c>
      <c r="O27" s="256">
        <v>3325.1205020000002</v>
      </c>
      <c r="P27" s="256">
        <v>-8219</v>
      </c>
      <c r="Q27" s="256">
        <v>-7082</v>
      </c>
      <c r="R27" s="256">
        <v>-5250.081314</v>
      </c>
      <c r="S27" s="256">
        <v>-11110</v>
      </c>
      <c r="T27" s="256">
        <v>-4861</v>
      </c>
      <c r="U27" s="256">
        <v>-10507</v>
      </c>
      <c r="V27" s="256">
        <v>-5737</v>
      </c>
      <c r="W27" s="256">
        <v>-5569</v>
      </c>
      <c r="X27" s="256">
        <v>-13705</v>
      </c>
      <c r="Y27" s="256">
        <v>-3555</v>
      </c>
      <c r="Z27" s="256">
        <v>-3765</v>
      </c>
      <c r="AA27" s="256">
        <v>-1650</v>
      </c>
      <c r="AB27" s="256">
        <v>-3964</v>
      </c>
      <c r="AC27" s="256">
        <v>-5609</v>
      </c>
      <c r="AD27" s="256">
        <v>-4232</v>
      </c>
      <c r="AE27" s="256">
        <v>-3177</v>
      </c>
      <c r="AF27" s="256">
        <v>-8933</v>
      </c>
      <c r="AG27" s="256">
        <v>-3833</v>
      </c>
      <c r="AH27" s="81">
        <f>'Reported Group Cash-Flow'!AH10</f>
        <v>-2067</v>
      </c>
      <c r="AI27" s="81">
        <f>'Reported Group Cash-Flow'!AI10</f>
        <v>-2778</v>
      </c>
      <c r="AJ27" s="81">
        <f>'Reported Group Cash-Flow'!AJ10</f>
        <v>-2969.7589287259998</v>
      </c>
      <c r="AK27" s="81">
        <f>'Reported Group Cash-Flow'!AK10</f>
        <v>-8226.2410712740002</v>
      </c>
      <c r="AL27" s="81">
        <f>'Reported Group Cash-Flow'!AL10</f>
        <v>-3883</v>
      </c>
      <c r="AM27" s="81">
        <f>'Reported Group Cash-Flow'!AM10</f>
        <v>-234</v>
      </c>
      <c r="AN27" s="81">
        <f>'Reported Group Cash-Flow'!AN10</f>
        <v>-323.73853185500093</v>
      </c>
      <c r="AO27" s="81">
        <f>'Reported Group Cash-Flow'!AO10</f>
        <v>-337.84936638099907</v>
      </c>
      <c r="AP27" s="81">
        <f>'Reported Group Cash-Flow'!AP10</f>
        <v>-343.06078837500002</v>
      </c>
      <c r="AQ27" s="81">
        <f>'Reported Group Cash-Flow'!AQ10</f>
        <v>-413.08697324600007</v>
      </c>
      <c r="AR27" s="81">
        <f>'Reported Group Cash-Flow'!AR10</f>
        <v>-424.32818536299999</v>
      </c>
      <c r="AS27" s="81">
        <f>'Reported Group Cash-Flow'!AS10</f>
        <v>-1026</v>
      </c>
      <c r="AT27" s="81">
        <f>'Reported Group Cash-Flow'!AT10</f>
        <v>-488.04433288100995</v>
      </c>
      <c r="AU27" s="81">
        <f>'Reported Group Cash-Flow'!AU10</f>
        <v>-587.67559437599016</v>
      </c>
      <c r="AV27" s="81">
        <f>'Reported Group Cash-Flow'!AV10</f>
        <v>-1150.4098428130005</v>
      </c>
      <c r="AW27" s="81">
        <f>'Reported Group Cash-Flow'!AW10</f>
        <v>-854</v>
      </c>
      <c r="AX27" s="81">
        <f>'Reported Group Cash-Flow'!AX10</f>
        <v>-1116</v>
      </c>
      <c r="AY27" s="81">
        <f>'Reported Group Cash-Flow'!AY10</f>
        <v>-1202.1817933110001</v>
      </c>
      <c r="AZ27" s="81">
        <f>'Reported Group Cash-Flow'!AZ10</f>
        <v>-2805.2816772240103</v>
      </c>
      <c r="BA27" s="81">
        <f>'Reported Group Cash-Flow'!BA10</f>
        <v>-1369.6858610769914</v>
      </c>
      <c r="BB27" s="81">
        <f>'Reported Group Cash-Flow'!BB10</f>
        <v>-1346</v>
      </c>
      <c r="BC27" s="81">
        <f>'Reported Group Cash-Flow'!BC10</f>
        <v>-683.99271199999998</v>
      </c>
      <c r="BD27" s="2"/>
      <c r="BE27" s="13"/>
      <c r="BG27" s="35"/>
    </row>
    <row r="28" spans="1:65">
      <c r="A28" s="2"/>
      <c r="B28" s="88" t="s">
        <v>226</v>
      </c>
      <c r="C28" s="88"/>
      <c r="D28" s="88"/>
      <c r="E28" s="256"/>
      <c r="F28" s="256"/>
      <c r="G28" s="256"/>
      <c r="H28" s="256"/>
      <c r="I28" s="256"/>
      <c r="J28" s="256"/>
      <c r="K28" s="256"/>
      <c r="L28" s="256"/>
      <c r="M28" s="256"/>
      <c r="N28" s="256"/>
      <c r="O28" s="256"/>
      <c r="P28" s="256"/>
      <c r="Q28" s="256"/>
      <c r="R28" s="256"/>
      <c r="S28" s="256"/>
      <c r="T28" s="256">
        <v>0</v>
      </c>
      <c r="U28" s="256">
        <v>0</v>
      </c>
      <c r="V28" s="256">
        <v>0</v>
      </c>
      <c r="W28" s="256">
        <v>0</v>
      </c>
      <c r="X28" s="256">
        <v>0</v>
      </c>
      <c r="Y28" s="256">
        <v>0</v>
      </c>
      <c r="Z28" s="256"/>
      <c r="AA28" s="256"/>
      <c r="AB28" s="256">
        <v>2</v>
      </c>
      <c r="AC28" s="256">
        <v>0</v>
      </c>
      <c r="AD28" s="256">
        <v>40</v>
      </c>
      <c r="AE28" s="256">
        <v>40</v>
      </c>
      <c r="AF28" s="256"/>
      <c r="AG28" s="256"/>
      <c r="AH28" s="256"/>
      <c r="AI28" s="256"/>
      <c r="AJ28" s="256"/>
      <c r="AK28" s="256"/>
      <c r="AL28" s="256"/>
      <c r="AM28" s="256"/>
      <c r="AN28" s="256"/>
      <c r="AO28" s="256"/>
      <c r="AP28" s="256"/>
      <c r="AQ28" s="256"/>
      <c r="AR28" s="256"/>
      <c r="AS28" s="256"/>
      <c r="AT28" s="256"/>
      <c r="AU28" s="256"/>
      <c r="AV28" s="256"/>
      <c r="AW28" s="256"/>
      <c r="AX28" s="256"/>
      <c r="AY28" s="256"/>
      <c r="AZ28" s="256"/>
      <c r="BA28" s="256"/>
      <c r="BB28" s="256"/>
      <c r="BC28" s="256"/>
      <c r="BD28" s="2"/>
      <c r="BE28" s="13"/>
      <c r="BG28" s="35"/>
    </row>
    <row r="29" spans="1:65">
      <c r="A29" s="2"/>
      <c r="B29" s="89" t="s">
        <v>227</v>
      </c>
      <c r="C29" s="89"/>
      <c r="D29" s="89"/>
      <c r="E29" s="256"/>
      <c r="F29" s="256"/>
      <c r="G29" s="256"/>
      <c r="H29" s="256"/>
      <c r="I29" s="256"/>
      <c r="J29" s="256"/>
      <c r="K29" s="256"/>
      <c r="L29" s="256"/>
      <c r="M29" s="256"/>
      <c r="N29" s="256"/>
      <c r="O29" s="256">
        <v>-1206</v>
      </c>
      <c r="P29" s="256">
        <v>73</v>
      </c>
      <c r="Q29" s="256">
        <v>312</v>
      </c>
      <c r="R29" s="256">
        <v>85</v>
      </c>
      <c r="S29" s="256">
        <v>858</v>
      </c>
      <c r="T29" s="256">
        <v>60</v>
      </c>
      <c r="U29" s="256">
        <v>21</v>
      </c>
      <c r="V29" s="256">
        <v>25</v>
      </c>
      <c r="W29" s="256">
        <v>1329</v>
      </c>
      <c r="X29" s="256">
        <v>-509</v>
      </c>
      <c r="Y29" s="256">
        <v>474</v>
      </c>
      <c r="Z29" s="256">
        <v>-357</v>
      </c>
      <c r="AA29" s="256">
        <v>308</v>
      </c>
      <c r="AB29" s="256">
        <v>2</v>
      </c>
      <c r="AC29" s="256">
        <v>188</v>
      </c>
      <c r="AD29" s="256">
        <v>40</v>
      </c>
      <c r="AE29" s="256">
        <v>1074</v>
      </c>
      <c r="AF29" s="256">
        <v>721</v>
      </c>
      <c r="AG29" s="256">
        <v>59</v>
      </c>
      <c r="AH29" s="256">
        <v>461</v>
      </c>
      <c r="AI29" s="256">
        <v>231</v>
      </c>
      <c r="AJ29" s="256">
        <v>211</v>
      </c>
      <c r="AK29" s="256">
        <v>369</v>
      </c>
      <c r="AL29" s="256"/>
      <c r="AM29" s="256"/>
      <c r="AN29" s="256"/>
      <c r="AO29" s="256"/>
      <c r="AP29" s="256"/>
      <c r="AQ29" s="256"/>
      <c r="AR29" s="256"/>
      <c r="AS29" s="256"/>
      <c r="AT29" s="256"/>
      <c r="AU29" s="256"/>
      <c r="AV29" s="256"/>
      <c r="AW29" s="256"/>
      <c r="AX29" s="256"/>
      <c r="AY29" s="256"/>
      <c r="AZ29" s="256"/>
      <c r="BA29" s="256"/>
      <c r="BB29" s="256"/>
      <c r="BC29" s="256"/>
      <c r="BD29" s="2"/>
      <c r="BE29" s="13"/>
      <c r="BG29" s="35"/>
    </row>
    <row r="30" spans="1:65" ht="2.25" customHeight="1">
      <c r="A30" s="2"/>
      <c r="B30" s="88" t="s">
        <v>228</v>
      </c>
      <c r="C30" s="88"/>
      <c r="D30" s="88"/>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95"/>
      <c r="BC30" s="95"/>
      <c r="BD30" s="2"/>
      <c r="BE30" s="13"/>
      <c r="BG30" s="35"/>
    </row>
    <row r="31" spans="1:65">
      <c r="A31" s="2"/>
      <c r="B31" s="85"/>
      <c r="C31" s="85"/>
      <c r="D31" s="85"/>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1"/>
      <c r="BB31" s="81"/>
      <c r="BC31" s="81"/>
      <c r="BD31" s="2"/>
      <c r="BE31" s="13"/>
      <c r="BG31" s="35"/>
    </row>
    <row r="32" spans="1:65">
      <c r="A32" s="2"/>
      <c r="B32" s="77" t="s">
        <v>229</v>
      </c>
      <c r="C32" s="77"/>
      <c r="D32" s="77"/>
      <c r="E32" s="258">
        <v>17056</v>
      </c>
      <c r="F32" s="258">
        <v>12629</v>
      </c>
      <c r="G32" s="258">
        <v>14729</v>
      </c>
      <c r="H32" s="258">
        <v>9515</v>
      </c>
      <c r="I32" s="258">
        <v>12947</v>
      </c>
      <c r="J32" s="258">
        <v>27801</v>
      </c>
      <c r="K32" s="258">
        <v>30579</v>
      </c>
      <c r="L32" s="258">
        <v>32810</v>
      </c>
      <c r="M32" s="258">
        <v>35295</v>
      </c>
      <c r="N32" s="258">
        <v>38413</v>
      </c>
      <c r="O32" s="258">
        <v>40232.234011766588</v>
      </c>
      <c r="P32" s="258">
        <v>41642</v>
      </c>
      <c r="Q32" s="258">
        <v>44857.588251713896</v>
      </c>
      <c r="R32" s="258">
        <v>44284</v>
      </c>
      <c r="S32" s="258">
        <v>42516</v>
      </c>
      <c r="T32" s="258">
        <v>29466</v>
      </c>
      <c r="U32" s="258">
        <v>29076</v>
      </c>
      <c r="V32" s="258">
        <v>28467</v>
      </c>
      <c r="W32" s="258">
        <v>27353</v>
      </c>
      <c r="X32" s="258">
        <v>20596</v>
      </c>
      <c r="Y32" s="258">
        <v>12514</v>
      </c>
      <c r="Z32" s="258">
        <f>Z21-SUM(Z24:Z29)</f>
        <v>14816</v>
      </c>
      <c r="AA32" s="258">
        <f>AA21-SUM(AA24:AA29)</f>
        <v>12988</v>
      </c>
      <c r="AB32" s="258">
        <v>8381</v>
      </c>
      <c r="AC32" s="258">
        <v>4416</v>
      </c>
      <c r="AD32" s="258">
        <v>-2850</v>
      </c>
      <c r="AE32" s="258">
        <v>-18535</v>
      </c>
      <c r="AF32" s="258">
        <v>-12135</v>
      </c>
      <c r="AG32" s="258">
        <v>-13086</v>
      </c>
      <c r="AH32" s="258">
        <v>-15298</v>
      </c>
      <c r="AI32" s="258">
        <v>-6230</v>
      </c>
      <c r="AJ32" s="258">
        <v>-4527.6214054429729</v>
      </c>
      <c r="AK32" s="258">
        <v>-6956</v>
      </c>
      <c r="AL32" s="258">
        <v>-3636.3621520000015</v>
      </c>
      <c r="AM32" s="258">
        <v>-1973.6378479999985</v>
      </c>
      <c r="AN32" s="258">
        <v>4066.0000000000146</v>
      </c>
      <c r="AO32" s="258">
        <v>15806.587162000025</v>
      </c>
      <c r="AP32" s="258">
        <v>17454</v>
      </c>
      <c r="AQ32" s="258">
        <v>23068</v>
      </c>
      <c r="AR32" s="258">
        <v>26017</v>
      </c>
      <c r="AS32" s="258">
        <f>AS38+AS35</f>
        <v>41306</v>
      </c>
      <c r="AT32" s="258">
        <v>35921</v>
      </c>
      <c r="AU32" s="258">
        <v>42653</v>
      </c>
      <c r="AV32" s="258">
        <v>43591</v>
      </c>
      <c r="AW32" s="258">
        <v>50140</v>
      </c>
      <c r="AX32" s="258">
        <v>52692</v>
      </c>
      <c r="AY32" s="258">
        <v>55100</v>
      </c>
      <c r="AZ32" s="258">
        <v>42386</v>
      </c>
      <c r="BA32" s="258">
        <v>52335</v>
      </c>
      <c r="BB32" s="258">
        <v>52903.3</v>
      </c>
      <c r="BC32" s="258">
        <v>67511</v>
      </c>
      <c r="BD32" s="2"/>
      <c r="BE32" s="13"/>
      <c r="BF32" s="81"/>
      <c r="BG32" s="244"/>
    </row>
    <row r="33" spans="1:76">
      <c r="A33" s="2"/>
      <c r="B33" s="85"/>
      <c r="C33" s="85"/>
      <c r="D33" s="85"/>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2"/>
      <c r="BE33" s="2"/>
      <c r="BG33" s="35"/>
    </row>
    <row r="34" spans="1:76" ht="4.5" customHeight="1">
      <c r="A34" s="2"/>
      <c r="B34" s="92"/>
      <c r="C34" s="92"/>
      <c r="D34" s="92"/>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2"/>
      <c r="BE34" s="2"/>
      <c r="BG34" s="35"/>
    </row>
    <row r="35" spans="1:76">
      <c r="A35" s="2"/>
      <c r="B35" s="88" t="s">
        <v>230</v>
      </c>
      <c r="C35" s="88"/>
      <c r="D35" s="88"/>
      <c r="E35" s="256"/>
      <c r="F35" s="256"/>
      <c r="G35" s="256"/>
      <c r="H35" s="256"/>
      <c r="I35" s="256"/>
      <c r="J35" s="256">
        <v>-2251.7770479999999</v>
      </c>
      <c r="K35" s="256">
        <v>819</v>
      </c>
      <c r="L35" s="256">
        <v>-674</v>
      </c>
      <c r="M35" s="256">
        <v>1568.7770479999999</v>
      </c>
      <c r="N35" s="256">
        <v>1820</v>
      </c>
      <c r="O35" s="256">
        <v>1750</v>
      </c>
      <c r="P35" s="256">
        <v>-2921</v>
      </c>
      <c r="Q35" s="256">
        <v>-1468.5882517138871</v>
      </c>
      <c r="R35" s="256">
        <v>14314</v>
      </c>
      <c r="S35" s="256">
        <v>6596</v>
      </c>
      <c r="T35" s="256">
        <v>3405</v>
      </c>
      <c r="U35" s="256">
        <v>2999</v>
      </c>
      <c r="V35" s="256">
        <v>3536</v>
      </c>
      <c r="W35" s="256">
        <v>66</v>
      </c>
      <c r="X35" s="256">
        <v>2040</v>
      </c>
      <c r="Y35" s="256">
        <v>6055</v>
      </c>
      <c r="Z35" s="256">
        <v>503</v>
      </c>
      <c r="AA35" s="256">
        <v>1786</v>
      </c>
      <c r="AB35" s="256">
        <v>2395</v>
      </c>
      <c r="AC35" s="256">
        <v>3247</v>
      </c>
      <c r="AD35" s="256">
        <v>3621</v>
      </c>
      <c r="AE35" s="256">
        <v>1449</v>
      </c>
      <c r="AF35" s="256">
        <v>-14137</v>
      </c>
      <c r="AG35" s="256">
        <v>20221</v>
      </c>
      <c r="AH35" s="256">
        <v>14694</v>
      </c>
      <c r="AI35" s="256">
        <v>307110</v>
      </c>
      <c r="AJ35" s="256">
        <v>10500</v>
      </c>
      <c r="AK35" s="256">
        <v>68588</v>
      </c>
      <c r="AL35" s="256">
        <v>117457</v>
      </c>
      <c r="AM35" s="256">
        <v>493</v>
      </c>
      <c r="AN35" s="256">
        <v>45599</v>
      </c>
      <c r="AO35" s="256">
        <v>-4404</v>
      </c>
      <c r="AP35" s="256">
        <v>-305</v>
      </c>
      <c r="AQ35" s="256">
        <v>-7221</v>
      </c>
      <c r="AR35" s="256">
        <v>-398</v>
      </c>
      <c r="AS35" s="256">
        <v>-9062</v>
      </c>
      <c r="AT35" s="256"/>
      <c r="AU35" s="256"/>
      <c r="AV35" s="256">
        <v>6698</v>
      </c>
      <c r="AW35" s="256"/>
      <c r="AX35" s="256">
        <v>34163</v>
      </c>
      <c r="AY35" s="256">
        <v>15703</v>
      </c>
      <c r="AZ35" s="256">
        <v>1302</v>
      </c>
      <c r="BA35" s="256">
        <v>24555</v>
      </c>
      <c r="BB35" s="256">
        <v>-7350</v>
      </c>
      <c r="BC35" s="256">
        <v>8537</v>
      </c>
      <c r="BD35" s="2"/>
      <c r="BE35" s="2"/>
      <c r="BG35" s="35"/>
    </row>
    <row r="36" spans="1:76" ht="4.5" customHeight="1">
      <c r="A36" s="2"/>
      <c r="B36" s="85"/>
      <c r="C36" s="85"/>
      <c r="D36" s="85"/>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2"/>
      <c r="BE36" s="2"/>
      <c r="BG36" s="35"/>
      <c r="BK36" s="34"/>
      <c r="BL36" s="34"/>
      <c r="BM36" s="34"/>
      <c r="BN36" s="34"/>
      <c r="BO36" s="34"/>
      <c r="BP36" s="34"/>
      <c r="BQ36" s="34"/>
      <c r="BR36" s="34"/>
      <c r="BS36" s="34"/>
      <c r="BT36" s="34"/>
      <c r="BU36" s="34"/>
      <c r="BV36" s="34"/>
      <c r="BW36" s="34"/>
      <c r="BX36" s="34"/>
    </row>
    <row r="37" spans="1:76">
      <c r="A37" s="2"/>
      <c r="B37" s="92"/>
      <c r="C37" s="92"/>
      <c r="D37" s="9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2"/>
      <c r="BE37" s="2"/>
      <c r="BG37" s="35"/>
    </row>
    <row r="38" spans="1:76">
      <c r="A38" s="2"/>
      <c r="B38" s="77" t="s">
        <v>231</v>
      </c>
      <c r="C38" s="77"/>
      <c r="D38" s="77"/>
      <c r="E38" s="258">
        <v>17056</v>
      </c>
      <c r="F38" s="258">
        <v>12629</v>
      </c>
      <c r="G38" s="258">
        <v>14729</v>
      </c>
      <c r="H38" s="258">
        <v>9515</v>
      </c>
      <c r="I38" s="258">
        <v>12947</v>
      </c>
      <c r="J38" s="258">
        <v>18376.777048</v>
      </c>
      <c r="K38" s="258">
        <v>13648.637953999998</v>
      </c>
      <c r="L38" s="258">
        <v>22802.362046000002</v>
      </c>
      <c r="M38" s="258">
        <v>23815.062389999999</v>
      </c>
      <c r="N38" s="258">
        <v>27027.879498000002</v>
      </c>
      <c r="O38" s="258">
        <v>28218.072304766589</v>
      </c>
      <c r="P38" s="258">
        <v>28198.282209000001</v>
      </c>
      <c r="Q38" s="258">
        <v>23686.000000000007</v>
      </c>
      <c r="R38" s="258">
        <v>39322.081313999995</v>
      </c>
      <c r="S38" s="258">
        <v>29629</v>
      </c>
      <c r="T38" s="258">
        <v>26061</v>
      </c>
      <c r="U38" s="258">
        <v>26077</v>
      </c>
      <c r="V38" s="258">
        <v>24931</v>
      </c>
      <c r="W38" s="258">
        <v>27287</v>
      </c>
      <c r="X38" s="258">
        <v>18556</v>
      </c>
      <c r="Y38" s="258">
        <v>6459</v>
      </c>
      <c r="Z38" s="258">
        <f>Z32-Z35</f>
        <v>14313</v>
      </c>
      <c r="AA38" s="258">
        <f>AA32-AA35</f>
        <v>11202</v>
      </c>
      <c r="AB38" s="258">
        <v>5986</v>
      </c>
      <c r="AC38" s="258">
        <v>1169</v>
      </c>
      <c r="AD38" s="258">
        <v>-6471</v>
      </c>
      <c r="AE38" s="258">
        <v>-19984</v>
      </c>
      <c r="AF38" s="258">
        <v>2002</v>
      </c>
      <c r="AG38" s="258">
        <v>7135</v>
      </c>
      <c r="AH38" s="258">
        <v>-29992</v>
      </c>
      <c r="AI38" s="258">
        <v>-313340</v>
      </c>
      <c r="AJ38" s="258">
        <v>-15027.621405442973</v>
      </c>
      <c r="AK38" s="258">
        <v>-75544</v>
      </c>
      <c r="AL38" s="258">
        <v>-121093.362152</v>
      </c>
      <c r="AM38" s="258">
        <v>-2466.6378479999985</v>
      </c>
      <c r="AN38" s="258">
        <v>-41532.999999999985</v>
      </c>
      <c r="AO38" s="258">
        <v>20210.587162000025</v>
      </c>
      <c r="AP38" s="258">
        <v>17759</v>
      </c>
      <c r="AQ38" s="258">
        <v>30289</v>
      </c>
      <c r="AR38" s="258">
        <v>26415</v>
      </c>
      <c r="AS38" s="258">
        <v>50368</v>
      </c>
      <c r="AT38" s="258">
        <v>35921</v>
      </c>
      <c r="AU38" s="258">
        <v>42653</v>
      </c>
      <c r="AV38" s="258">
        <v>36893</v>
      </c>
      <c r="AW38" s="258">
        <v>50140</v>
      </c>
      <c r="AX38" s="258">
        <v>18529</v>
      </c>
      <c r="AY38" s="258">
        <v>39397</v>
      </c>
      <c r="AZ38" s="258">
        <v>41084</v>
      </c>
      <c r="BA38" s="258">
        <v>27780</v>
      </c>
      <c r="BB38" s="258">
        <v>60253.3</v>
      </c>
      <c r="BC38" s="258">
        <v>58974</v>
      </c>
      <c r="BD38" s="2"/>
      <c r="BE38" s="2"/>
      <c r="BG38" s="35"/>
    </row>
    <row r="39" spans="1:76">
      <c r="A39" s="2"/>
      <c r="B39" s="85"/>
      <c r="C39" s="85"/>
      <c r="D39" s="85"/>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c r="AT39" s="81"/>
      <c r="AU39" s="81"/>
      <c r="AV39" s="81"/>
      <c r="AW39" s="81"/>
      <c r="AX39" s="81"/>
      <c r="AY39" s="81"/>
      <c r="AZ39" s="81"/>
      <c r="BA39" s="81"/>
      <c r="BB39" s="81"/>
      <c r="BC39" s="81"/>
      <c r="BD39" s="2"/>
      <c r="BE39" s="2"/>
      <c r="BG39" s="35"/>
    </row>
    <row r="40" spans="1:76" ht="3.75" customHeight="1">
      <c r="A40" s="13"/>
      <c r="B40" s="92"/>
      <c r="C40" s="92"/>
      <c r="D40" s="92"/>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97"/>
      <c r="AG40" s="97"/>
      <c r="AH40" s="97"/>
      <c r="AI40" s="97"/>
      <c r="AJ40" s="97"/>
      <c r="AK40" s="97"/>
      <c r="AL40" s="97"/>
      <c r="AM40" s="97"/>
      <c r="AN40" s="97"/>
      <c r="AO40" s="97"/>
      <c r="AP40" s="97"/>
      <c r="AQ40" s="97"/>
      <c r="AR40" s="97"/>
      <c r="AS40" s="97"/>
      <c r="AT40" s="97"/>
      <c r="AU40" s="97">
        <v>29789</v>
      </c>
      <c r="AV40" s="97"/>
      <c r="AW40" s="97"/>
      <c r="AX40" s="97"/>
      <c r="AY40" s="97"/>
      <c r="AZ40" s="97"/>
      <c r="BA40" s="97"/>
      <c r="BB40" s="97"/>
      <c r="BC40" s="97"/>
      <c r="BD40" s="2"/>
      <c r="BE40" s="2"/>
      <c r="BG40" s="35"/>
    </row>
    <row r="41" spans="1:76" ht="15" customHeight="1">
      <c r="A41" s="2"/>
      <c r="B41" s="77" t="s">
        <v>232</v>
      </c>
      <c r="C41" s="77"/>
      <c r="D41" s="7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97"/>
      <c r="AG41" s="97"/>
      <c r="AH41" s="97"/>
      <c r="AI41" s="97"/>
      <c r="AJ41" s="97"/>
      <c r="AK41" s="97"/>
      <c r="AL41" s="97"/>
      <c r="AM41" s="97"/>
      <c r="AN41" s="97"/>
      <c r="AO41" s="97"/>
      <c r="AP41" s="97"/>
      <c r="AQ41" s="97"/>
      <c r="AR41" s="97"/>
      <c r="AS41" s="97"/>
      <c r="AT41" s="97"/>
      <c r="AU41" s="97"/>
      <c r="AV41" s="97"/>
      <c r="AW41" s="97"/>
      <c r="AX41" s="97"/>
      <c r="AY41" s="97"/>
      <c r="AZ41" s="97"/>
      <c r="BA41" s="97"/>
      <c r="BB41" s="97"/>
      <c r="BC41" s="97"/>
      <c r="BD41" s="2"/>
      <c r="BE41" s="2"/>
      <c r="BG41" s="35"/>
      <c r="BH41" s="34"/>
      <c r="BI41" s="34"/>
      <c r="BJ41" s="34"/>
      <c r="BK41" s="34"/>
      <c r="BL41" s="34"/>
      <c r="BM41" s="34"/>
      <c r="BN41" s="34"/>
      <c r="BO41" s="34"/>
      <c r="BP41" s="34"/>
      <c r="BQ41" s="34"/>
      <c r="BR41" s="34"/>
      <c r="BS41" s="34"/>
      <c r="BT41" s="34"/>
      <c r="BU41" s="34"/>
      <c r="BV41" s="34"/>
      <c r="BW41" s="34"/>
      <c r="BX41" s="34"/>
    </row>
    <row r="42" spans="1:76">
      <c r="A42" s="2"/>
      <c r="B42" s="96" t="s">
        <v>233</v>
      </c>
      <c r="C42" s="96"/>
      <c r="D42" s="96"/>
      <c r="E42" s="256">
        <v>6976.4</v>
      </c>
      <c r="F42" s="256">
        <v>4878</v>
      </c>
      <c r="G42" s="256">
        <v>7714</v>
      </c>
      <c r="H42" s="256">
        <v>6675</v>
      </c>
      <c r="I42" s="256">
        <v>7884</v>
      </c>
      <c r="J42" s="256">
        <v>9684</v>
      </c>
      <c r="K42" s="256">
        <v>8634</v>
      </c>
      <c r="L42" s="256">
        <v>16569</v>
      </c>
      <c r="M42" s="256">
        <v>13562</v>
      </c>
      <c r="N42" s="256">
        <v>15326</v>
      </c>
      <c r="O42" s="256">
        <v>14765</v>
      </c>
      <c r="P42" s="256">
        <v>13145</v>
      </c>
      <c r="Q42" s="256">
        <v>10811</v>
      </c>
      <c r="R42" s="256">
        <v>21781</v>
      </c>
      <c r="S42" s="256">
        <v>13326</v>
      </c>
      <c r="T42" s="256">
        <v>11550</v>
      </c>
      <c r="U42" s="256">
        <v>9973</v>
      </c>
      <c r="V42" s="256">
        <v>12636</v>
      </c>
      <c r="W42" s="256">
        <v>11027</v>
      </c>
      <c r="X42" s="256">
        <v>6541</v>
      </c>
      <c r="Y42" s="256">
        <v>-8964</v>
      </c>
      <c r="Z42" s="256">
        <v>9394</v>
      </c>
      <c r="AA42" s="256">
        <v>4794</v>
      </c>
      <c r="AB42" s="256">
        <v>2420</v>
      </c>
      <c r="AC42" s="256">
        <v>1622</v>
      </c>
      <c r="AD42" s="256">
        <v>7176</v>
      </c>
      <c r="AE42" s="256">
        <v>3850</v>
      </c>
      <c r="AF42" s="256">
        <v>5331</v>
      </c>
      <c r="AG42" s="256">
        <v>3034</v>
      </c>
      <c r="AH42" s="256">
        <v>7763</v>
      </c>
      <c r="AI42" s="256">
        <v>4281</v>
      </c>
      <c r="AJ42" s="256">
        <v>7309</v>
      </c>
      <c r="AK42" s="256">
        <v>3021</v>
      </c>
      <c r="AL42" s="256">
        <v>3583.1184970000004</v>
      </c>
      <c r="AM42" s="256">
        <v>4948.8815029999996</v>
      </c>
      <c r="AN42" s="256">
        <v>5593.9999999999991</v>
      </c>
      <c r="AO42" s="256">
        <v>6457.9999999999991</v>
      </c>
      <c r="AP42" s="256">
        <v>7274</v>
      </c>
      <c r="AQ42" s="256">
        <v>7370</v>
      </c>
      <c r="AR42" s="256">
        <v>7922</v>
      </c>
      <c r="AS42" s="256">
        <v>7765</v>
      </c>
      <c r="AT42" s="256">
        <v>12720</v>
      </c>
      <c r="AU42" s="256">
        <v>7953</v>
      </c>
      <c r="AV42" s="256">
        <v>6511</v>
      </c>
      <c r="AW42" s="256">
        <v>7647</v>
      </c>
      <c r="AX42" s="256">
        <v>9324</v>
      </c>
      <c r="AY42" s="256">
        <v>17574</v>
      </c>
      <c r="AZ42" s="256">
        <v>7506</v>
      </c>
      <c r="BA42" s="256">
        <v>7094</v>
      </c>
      <c r="BB42" s="256">
        <v>7883</v>
      </c>
      <c r="BC42" s="256">
        <v>8491</v>
      </c>
      <c r="BD42" s="2"/>
      <c r="BE42" s="2"/>
      <c r="BG42" s="35"/>
    </row>
    <row r="43" spans="1:76">
      <c r="A43" s="2"/>
      <c r="B43" s="96" t="s">
        <v>234</v>
      </c>
      <c r="C43" s="96"/>
      <c r="D43" s="96"/>
      <c r="E43" s="259"/>
      <c r="F43" s="259"/>
      <c r="G43" s="259"/>
      <c r="H43" s="259"/>
      <c r="I43" s="259"/>
      <c r="J43" s="259"/>
      <c r="K43" s="259"/>
      <c r="L43" s="259"/>
      <c r="M43" s="259"/>
      <c r="N43" s="259"/>
      <c r="O43" s="259"/>
      <c r="P43" s="259"/>
      <c r="Q43" s="259"/>
      <c r="R43" s="259"/>
      <c r="S43" s="259"/>
      <c r="T43" s="259">
        <v>1973</v>
      </c>
      <c r="U43" s="259">
        <v>816</v>
      </c>
      <c r="V43" s="259">
        <v>-2547</v>
      </c>
      <c r="W43" s="259">
        <v>109</v>
      </c>
      <c r="X43" s="259">
        <v>5300</v>
      </c>
      <c r="Y43" s="259">
        <v>10717</v>
      </c>
      <c r="Z43" s="259">
        <v>-1258</v>
      </c>
      <c r="AA43" s="259">
        <v>547</v>
      </c>
      <c r="AB43" s="259">
        <v>-2041</v>
      </c>
      <c r="AC43" s="259">
        <v>-4643</v>
      </c>
      <c r="AD43" s="259">
        <v>-18443</v>
      </c>
      <c r="AE43" s="259">
        <v>-26326</v>
      </c>
      <c r="AF43" s="259">
        <v>-7155</v>
      </c>
      <c r="AG43" s="259">
        <v>-1660</v>
      </c>
      <c r="AH43" s="259">
        <v>-13833</v>
      </c>
      <c r="AI43" s="259">
        <v>-89320</v>
      </c>
      <c r="AJ43" s="259">
        <v>-17688</v>
      </c>
      <c r="AK43" s="259">
        <v>-24541</v>
      </c>
      <c r="AL43" s="259">
        <v>33438.857283999998</v>
      </c>
      <c r="AM43" s="259">
        <v>-813.85728399999789</v>
      </c>
      <c r="AN43" s="259">
        <v>37473</v>
      </c>
      <c r="AO43" s="259">
        <v>-1357</v>
      </c>
      <c r="AP43" s="259">
        <v>1071</v>
      </c>
      <c r="AQ43" s="259">
        <v>2938</v>
      </c>
      <c r="AR43" s="259">
        <v>1986</v>
      </c>
      <c r="AS43" s="259">
        <v>5453</v>
      </c>
      <c r="AT43" s="259">
        <v>-1487</v>
      </c>
      <c r="AU43" s="259">
        <v>4911</v>
      </c>
      <c r="AV43" s="259">
        <v>4245</v>
      </c>
      <c r="AW43" s="259">
        <v>233</v>
      </c>
      <c r="AX43" s="259">
        <v>-5997</v>
      </c>
      <c r="AY43" s="259">
        <v>891</v>
      </c>
      <c r="AZ43" s="259">
        <v>4814</v>
      </c>
      <c r="BA43" s="259">
        <v>4</v>
      </c>
      <c r="BB43" s="259">
        <v>5195</v>
      </c>
      <c r="BC43" s="259">
        <v>8949</v>
      </c>
      <c r="BD43" s="2"/>
      <c r="BE43" s="2"/>
      <c r="BG43" s="35"/>
    </row>
    <row r="44" spans="1:76" ht="3.75" customHeight="1">
      <c r="A44" s="2"/>
      <c r="B44" s="85"/>
      <c r="C44" s="85"/>
      <c r="D44" s="85"/>
      <c r="E44" s="97"/>
      <c r="F44" s="97"/>
      <c r="G44" s="97"/>
      <c r="H44" s="97"/>
      <c r="I44" s="97"/>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97"/>
      <c r="AQ44" s="97"/>
      <c r="AR44" s="97"/>
      <c r="AS44" s="97"/>
      <c r="AT44" s="97"/>
      <c r="AU44" s="97"/>
      <c r="AV44" s="97"/>
      <c r="AW44" s="97"/>
      <c r="AX44" s="97"/>
      <c r="AY44" s="97"/>
      <c r="AZ44" s="97"/>
      <c r="BA44" s="97"/>
      <c r="BB44" s="97"/>
      <c r="BC44" s="97"/>
      <c r="BD44" s="2"/>
      <c r="BE44" s="2"/>
      <c r="BG44" s="35"/>
    </row>
    <row r="45" spans="1:76">
      <c r="A45" s="2"/>
      <c r="B45" s="92"/>
      <c r="C45" s="92"/>
      <c r="D45" s="92"/>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c r="AL45" s="98"/>
      <c r="AM45" s="98"/>
      <c r="AN45" s="98"/>
      <c r="AO45" s="98"/>
      <c r="AP45" s="98"/>
      <c r="AQ45" s="98"/>
      <c r="AR45" s="98"/>
      <c r="AS45" s="98"/>
      <c r="AT45" s="98"/>
      <c r="AU45" s="98"/>
      <c r="AV45" s="98"/>
      <c r="AW45" s="98"/>
      <c r="AX45" s="98"/>
      <c r="AY45" s="98"/>
      <c r="AZ45" s="98"/>
      <c r="BA45" s="98"/>
      <c r="BB45" s="98"/>
      <c r="BC45" s="98"/>
      <c r="BD45" s="2"/>
      <c r="BE45" s="2"/>
      <c r="BK45" s="34"/>
      <c r="BL45" s="34"/>
      <c r="BM45" s="34"/>
      <c r="BN45" s="34"/>
      <c r="BO45" s="34"/>
      <c r="BP45" s="34"/>
      <c r="BQ45" s="34"/>
      <c r="BR45" s="34"/>
      <c r="BS45" s="34"/>
      <c r="BT45" s="34"/>
    </row>
    <row r="46" spans="1:76">
      <c r="A46" s="2"/>
      <c r="B46" s="77" t="s">
        <v>235</v>
      </c>
      <c r="C46" s="77"/>
      <c r="D46" s="77"/>
      <c r="E46" s="260">
        <v>10079.6</v>
      </c>
      <c r="F46" s="260">
        <v>7751</v>
      </c>
      <c r="G46" s="260">
        <v>7015</v>
      </c>
      <c r="H46" s="260">
        <v>2840</v>
      </c>
      <c r="I46" s="260">
        <v>5063</v>
      </c>
      <c r="J46" s="260">
        <v>8692.7770479999999</v>
      </c>
      <c r="K46" s="260">
        <v>5014.637953999998</v>
      </c>
      <c r="L46" s="260">
        <v>6233.362046000002</v>
      </c>
      <c r="M46" s="260">
        <v>10253.062389999999</v>
      </c>
      <c r="N46" s="260">
        <v>11701.879498000002</v>
      </c>
      <c r="O46" s="260">
        <v>13453.072304766589</v>
      </c>
      <c r="P46" s="260">
        <v>15053.282209000001</v>
      </c>
      <c r="Q46" s="260">
        <v>12875.000000000007</v>
      </c>
      <c r="R46" s="261">
        <v>17541.081313999995</v>
      </c>
      <c r="S46" s="262">
        <v>16303</v>
      </c>
      <c r="T46" s="262">
        <v>12538</v>
      </c>
      <c r="U46" s="262">
        <v>15288</v>
      </c>
      <c r="V46" s="262">
        <v>14842</v>
      </c>
      <c r="W46" s="262">
        <v>16151</v>
      </c>
      <c r="X46" s="262">
        <v>6715</v>
      </c>
      <c r="Y46" s="262">
        <v>4706</v>
      </c>
      <c r="Z46" s="262">
        <f>Z38-(Z42+Z43)</f>
        <v>6177</v>
      </c>
      <c r="AA46" s="262">
        <f>AA38-(AA42+AA43)</f>
        <v>5861</v>
      </c>
      <c r="AB46" s="262">
        <v>5607</v>
      </c>
      <c r="AC46" s="262">
        <v>4190</v>
      </c>
      <c r="AD46" s="262">
        <v>4796</v>
      </c>
      <c r="AE46" s="262">
        <v>2492</v>
      </c>
      <c r="AF46" s="262">
        <v>3826</v>
      </c>
      <c r="AG46" s="262">
        <v>5761</v>
      </c>
      <c r="AH46" s="262">
        <v>-23922</v>
      </c>
      <c r="AI46" s="262">
        <v>-228301</v>
      </c>
      <c r="AJ46" s="262">
        <v>-4648.6214054429729</v>
      </c>
      <c r="AK46" s="262">
        <v>-54024</v>
      </c>
      <c r="AL46" s="262">
        <v>-151912</v>
      </c>
      <c r="AM46" s="262">
        <v>-339</v>
      </c>
      <c r="AN46" s="262">
        <v>13501.000000000015</v>
      </c>
      <c r="AO46" s="262">
        <v>15109.587162000025</v>
      </c>
      <c r="AP46" s="262">
        <v>9414</v>
      </c>
      <c r="AQ46" s="262">
        <v>19981</v>
      </c>
      <c r="AR46" s="262">
        <v>16507</v>
      </c>
      <c r="AS46" s="262">
        <v>37150</v>
      </c>
      <c r="AT46" s="262">
        <v>24688</v>
      </c>
      <c r="AU46" s="262">
        <v>29789</v>
      </c>
      <c r="AV46" s="262">
        <v>26137</v>
      </c>
      <c r="AW46" s="262">
        <v>42260</v>
      </c>
      <c r="AX46" s="262">
        <v>15202</v>
      </c>
      <c r="AY46" s="262">
        <v>20932</v>
      </c>
      <c r="AZ46" s="262">
        <v>28764</v>
      </c>
      <c r="BA46" s="262">
        <v>20682</v>
      </c>
      <c r="BB46" s="262">
        <v>47175.3</v>
      </c>
      <c r="BC46" s="262">
        <v>41534</v>
      </c>
      <c r="BD46" s="2"/>
      <c r="BE46" s="2"/>
      <c r="BG46" s="450"/>
      <c r="BK46" s="34"/>
      <c r="BL46" s="34"/>
      <c r="BM46" s="34"/>
      <c r="BN46" s="34"/>
      <c r="BO46" s="34"/>
      <c r="BP46" s="34"/>
      <c r="BQ46" s="34"/>
      <c r="BR46" s="34"/>
      <c r="BS46" s="34"/>
      <c r="BT46" s="34"/>
    </row>
    <row r="47" spans="1:76">
      <c r="A47" s="2"/>
      <c r="B47" s="2"/>
      <c r="C47" s="2"/>
      <c r="D47" s="2"/>
      <c r="E47" s="108"/>
      <c r="F47" s="108"/>
      <c r="G47" s="85"/>
      <c r="H47" s="85"/>
      <c r="I47" s="85"/>
      <c r="J47" s="85"/>
      <c r="K47" s="85"/>
      <c r="L47" s="108"/>
      <c r="M47" s="108"/>
      <c r="N47" s="108"/>
      <c r="O47" s="109"/>
      <c r="P47" s="109"/>
      <c r="Q47" s="109"/>
      <c r="R47" s="109"/>
      <c r="S47" s="109"/>
      <c r="T47" s="109"/>
      <c r="U47" s="109"/>
      <c r="V47" s="109"/>
      <c r="W47" s="109"/>
      <c r="X47" s="109"/>
      <c r="Y47" s="109"/>
      <c r="Z47" s="109"/>
      <c r="AA47" s="109"/>
      <c r="AB47" s="109"/>
      <c r="AC47" s="109"/>
      <c r="AD47" s="109"/>
      <c r="AE47" s="109"/>
      <c r="AF47" s="110"/>
      <c r="AG47" s="110"/>
      <c r="AH47" s="110"/>
      <c r="AI47" s="110"/>
      <c r="AJ47" s="110"/>
      <c r="AK47" s="110"/>
      <c r="AL47" s="110"/>
      <c r="AM47" s="110"/>
      <c r="AN47" s="110"/>
      <c r="AO47" s="110"/>
      <c r="AP47" s="110"/>
      <c r="AQ47" s="110"/>
      <c r="AR47" s="110"/>
      <c r="AS47" s="110"/>
      <c r="AT47" s="110"/>
      <c r="AU47" s="110"/>
      <c r="AV47" s="81"/>
      <c r="AW47" s="110"/>
      <c r="AX47" s="110"/>
      <c r="AY47" s="110"/>
      <c r="AZ47" s="244">
        <f>AZ46/AV46-1</f>
        <v>0.10050885717565139</v>
      </c>
      <c r="BA47" s="244">
        <f>BA46/AW46-1</f>
        <v>-0.51060104117368676</v>
      </c>
      <c r="BB47" s="244">
        <f>BB46/AX46-1</f>
        <v>2.1032298381791872</v>
      </c>
      <c r="BC47" s="244">
        <f>BC46/AY46-1</f>
        <v>0.98423466462832021</v>
      </c>
      <c r="BD47" s="2"/>
      <c r="BE47" s="2"/>
      <c r="BG47" s="35"/>
    </row>
    <row r="48" spans="1:76">
      <c r="A48" s="2"/>
      <c r="B48" s="96" t="s">
        <v>388</v>
      </c>
      <c r="C48" s="96"/>
      <c r="D48" s="96"/>
      <c r="E48" s="256">
        <v>10079.5</v>
      </c>
      <c r="F48" s="256">
        <v>7751</v>
      </c>
      <c r="G48" s="256">
        <v>7015</v>
      </c>
      <c r="H48" s="256">
        <v>2840</v>
      </c>
      <c r="I48" s="256">
        <v>5063</v>
      </c>
      <c r="J48" s="256">
        <v>8692.7770479999999</v>
      </c>
      <c r="K48" s="256">
        <v>5015.2229520000001</v>
      </c>
      <c r="L48" s="256">
        <v>6233</v>
      </c>
      <c r="M48" s="256">
        <v>10253</v>
      </c>
      <c r="N48" s="256">
        <v>11702</v>
      </c>
      <c r="O48" s="256">
        <v>13453</v>
      </c>
      <c r="P48" s="256">
        <v>15053</v>
      </c>
      <c r="Q48" s="256">
        <v>12875</v>
      </c>
      <c r="R48" s="256">
        <v>17541</v>
      </c>
      <c r="S48" s="256">
        <v>16303</v>
      </c>
      <c r="T48" s="256">
        <v>12538</v>
      </c>
      <c r="U48" s="256">
        <v>15288</v>
      </c>
      <c r="V48" s="256">
        <v>14842</v>
      </c>
      <c r="W48" s="256">
        <v>16151</v>
      </c>
      <c r="X48" s="256">
        <v>6715</v>
      </c>
      <c r="Y48" s="256">
        <v>4706</v>
      </c>
      <c r="Z48" s="256">
        <f>Z46</f>
        <v>6177</v>
      </c>
      <c r="AA48" s="256">
        <f>AA46</f>
        <v>5861</v>
      </c>
      <c r="AB48" s="256">
        <v>5607</v>
      </c>
      <c r="AC48" s="256">
        <v>4190</v>
      </c>
      <c r="AD48" s="256">
        <v>4796</v>
      </c>
      <c r="AE48" s="256">
        <v>2492</v>
      </c>
      <c r="AF48" s="256">
        <v>3826</v>
      </c>
      <c r="AG48" s="256">
        <v>5761</v>
      </c>
      <c r="AH48" s="256">
        <v>-23922</v>
      </c>
      <c r="AI48" s="81">
        <f>AI46</f>
        <v>-228301</v>
      </c>
      <c r="AJ48" s="81">
        <f>AJ46</f>
        <v>-4648.6214054429729</v>
      </c>
      <c r="AK48" s="81">
        <f>AK46</f>
        <v>-54024</v>
      </c>
      <c r="AL48" s="81">
        <f t="shared" ref="AL48:AN48" si="35">AL46</f>
        <v>-151912</v>
      </c>
      <c r="AM48" s="81">
        <f t="shared" si="35"/>
        <v>-339</v>
      </c>
      <c r="AN48" s="81">
        <f t="shared" si="35"/>
        <v>13501.000000000015</v>
      </c>
      <c r="AO48" s="81">
        <f t="shared" ref="AO48" si="36">AO46</f>
        <v>15109.587162000025</v>
      </c>
      <c r="AP48" s="81">
        <f t="shared" ref="AP48:AQ48" si="37">AP46</f>
        <v>9414</v>
      </c>
      <c r="AQ48" s="81">
        <f t="shared" si="37"/>
        <v>19981</v>
      </c>
      <c r="AR48" s="81">
        <f t="shared" ref="AR48:AS48" si="38">AR46</f>
        <v>16507</v>
      </c>
      <c r="AS48" s="81">
        <f t="shared" si="38"/>
        <v>37150</v>
      </c>
      <c r="AT48" s="81">
        <f t="shared" ref="AT48:AU48" si="39">AT46</f>
        <v>24688</v>
      </c>
      <c r="AU48" s="81">
        <f t="shared" si="39"/>
        <v>29789</v>
      </c>
      <c r="AV48" s="81">
        <f t="shared" ref="AV48:AW48" si="40">AV46</f>
        <v>26137</v>
      </c>
      <c r="AW48" s="81">
        <f t="shared" si="40"/>
        <v>42260</v>
      </c>
      <c r="AX48" s="81">
        <f t="shared" ref="AX48:AY48" si="41">AX46</f>
        <v>15202</v>
      </c>
      <c r="AY48" s="81">
        <f t="shared" si="41"/>
        <v>20932</v>
      </c>
      <c r="AZ48" s="81">
        <f t="shared" ref="AZ48:BA48" si="42">AZ46</f>
        <v>28764</v>
      </c>
      <c r="BA48" s="81">
        <f t="shared" si="42"/>
        <v>20682</v>
      </c>
      <c r="BB48" s="81">
        <f t="shared" ref="BB48:BC48" si="43">BB46</f>
        <v>47175.3</v>
      </c>
      <c r="BC48" s="81">
        <f t="shared" si="43"/>
        <v>41534</v>
      </c>
      <c r="BD48" s="2"/>
      <c r="BE48" s="2"/>
      <c r="BG48" s="35"/>
    </row>
    <row r="49" spans="1:59">
      <c r="A49" s="2"/>
      <c r="B49" s="96" t="s">
        <v>386</v>
      </c>
      <c r="C49" s="96"/>
      <c r="D49" s="96"/>
      <c r="E49" s="256">
        <v>10058.5</v>
      </c>
      <c r="F49" s="256">
        <v>7622</v>
      </c>
      <c r="G49" s="256">
        <v>7212</v>
      </c>
      <c r="H49" s="256">
        <v>2837</v>
      </c>
      <c r="I49" s="256">
        <v>5086</v>
      </c>
      <c r="J49" s="256">
        <v>6888.7770479999999</v>
      </c>
      <c r="K49" s="256">
        <v>5120.2229520000001</v>
      </c>
      <c r="L49" s="256">
        <v>6102</v>
      </c>
      <c r="M49" s="256">
        <v>9616</v>
      </c>
      <c r="N49" s="256">
        <v>11085</v>
      </c>
      <c r="O49" s="256">
        <v>13832</v>
      </c>
      <c r="P49" s="256">
        <v>14365</v>
      </c>
      <c r="Q49" s="256">
        <v>12553</v>
      </c>
      <c r="R49" s="256">
        <v>15543</v>
      </c>
      <c r="S49" s="256">
        <v>15227</v>
      </c>
      <c r="T49" s="256">
        <v>11081</v>
      </c>
      <c r="U49" s="256">
        <v>13193</v>
      </c>
      <c r="V49" s="256">
        <v>14620</v>
      </c>
      <c r="W49" s="256">
        <v>14607</v>
      </c>
      <c r="X49" s="256">
        <v>5037</v>
      </c>
      <c r="Y49" s="256">
        <v>3734</v>
      </c>
      <c r="Z49" s="256">
        <f>Z48-Z50</f>
        <v>3673</v>
      </c>
      <c r="AA49" s="256">
        <f>AA48-AA50</f>
        <v>3430</v>
      </c>
      <c r="AB49" s="256">
        <v>3058</v>
      </c>
      <c r="AC49" s="256">
        <v>829</v>
      </c>
      <c r="AD49" s="256">
        <v>973</v>
      </c>
      <c r="AE49" s="256">
        <v>1188</v>
      </c>
      <c r="AF49" s="256">
        <v>862</v>
      </c>
      <c r="AG49" s="256">
        <v>1072</v>
      </c>
      <c r="AH49" s="256">
        <v>-30610</v>
      </c>
      <c r="AI49" s="256">
        <v>-229330</v>
      </c>
      <c r="AJ49" s="256">
        <v>-11422.5</v>
      </c>
      <c r="AK49" s="256">
        <v>-52370</v>
      </c>
      <c r="AL49" s="256">
        <v>-159330.89035286458</v>
      </c>
      <c r="AM49" s="256">
        <v>-7632.1096471354249</v>
      </c>
      <c r="AN49" s="256">
        <v>8536</v>
      </c>
      <c r="AO49" s="256">
        <v>7591.85012800002</v>
      </c>
      <c r="AP49" s="256">
        <v>2835</v>
      </c>
      <c r="AQ49" s="256">
        <v>11340</v>
      </c>
      <c r="AR49" s="256">
        <v>8296</v>
      </c>
      <c r="AS49" s="256">
        <v>20078</v>
      </c>
      <c r="AT49" s="256">
        <v>16069</v>
      </c>
      <c r="AU49" s="256">
        <v>21452</v>
      </c>
      <c r="AV49" s="256">
        <v>15882</v>
      </c>
      <c r="AW49" s="256">
        <v>30056</v>
      </c>
      <c r="AX49" s="256">
        <v>16125</v>
      </c>
      <c r="AY49" s="256">
        <v>13407</v>
      </c>
      <c r="AZ49" s="256">
        <v>24422</v>
      </c>
      <c r="BA49" s="256">
        <v>20716</v>
      </c>
      <c r="BB49" s="256">
        <v>41599</v>
      </c>
      <c r="BC49" s="256">
        <v>35932</v>
      </c>
      <c r="BD49" s="2"/>
      <c r="BE49" s="2"/>
      <c r="BG49" s="35"/>
    </row>
    <row r="50" spans="1:59">
      <c r="A50" s="2"/>
      <c r="B50" s="96" t="s">
        <v>387</v>
      </c>
      <c r="C50" s="96"/>
      <c r="D50" s="96"/>
      <c r="E50" s="256">
        <v>21</v>
      </c>
      <c r="F50" s="256">
        <v>129</v>
      </c>
      <c r="G50" s="256">
        <v>-197</v>
      </c>
      <c r="H50" s="256">
        <v>3</v>
      </c>
      <c r="I50" s="256">
        <v>-23</v>
      </c>
      <c r="J50" s="256">
        <v>1804</v>
      </c>
      <c r="K50" s="256">
        <v>-105</v>
      </c>
      <c r="L50" s="256">
        <v>131</v>
      </c>
      <c r="M50" s="256">
        <v>637</v>
      </c>
      <c r="N50" s="256">
        <v>617</v>
      </c>
      <c r="O50" s="256">
        <v>-379</v>
      </c>
      <c r="P50" s="256">
        <v>688</v>
      </c>
      <c r="Q50" s="256">
        <v>322</v>
      </c>
      <c r="R50" s="256">
        <v>1998</v>
      </c>
      <c r="S50" s="256">
        <v>1076</v>
      </c>
      <c r="T50" s="256">
        <v>1457</v>
      </c>
      <c r="U50" s="256">
        <v>2095</v>
      </c>
      <c r="V50" s="256">
        <v>222</v>
      </c>
      <c r="W50" s="256">
        <v>1544</v>
      </c>
      <c r="X50" s="256">
        <v>1678</v>
      </c>
      <c r="Y50" s="256">
        <v>972</v>
      </c>
      <c r="Z50" s="256">
        <v>2504</v>
      </c>
      <c r="AA50" s="256">
        <v>2431</v>
      </c>
      <c r="AB50" s="256">
        <v>2549</v>
      </c>
      <c r="AC50" s="256">
        <v>3361</v>
      </c>
      <c r="AD50" s="256">
        <v>3823</v>
      </c>
      <c r="AE50" s="256">
        <v>1304</v>
      </c>
      <c r="AF50" s="256">
        <v>2964</v>
      </c>
      <c r="AG50" s="256">
        <v>4689</v>
      </c>
      <c r="AH50" s="256">
        <v>3856</v>
      </c>
      <c r="AI50" s="256">
        <v>4463</v>
      </c>
      <c r="AJ50" s="256">
        <v>7092</v>
      </c>
      <c r="AK50" s="256">
        <v>2600</v>
      </c>
      <c r="AL50" s="256">
        <v>7418.8903528645833</v>
      </c>
      <c r="AM50" s="256">
        <v>7293.1096471354167</v>
      </c>
      <c r="AN50" s="256">
        <v>4964.9999999999991</v>
      </c>
      <c r="AO50" s="256">
        <v>7517.9999999999991</v>
      </c>
      <c r="AP50" s="256">
        <v>6579</v>
      </c>
      <c r="AQ50" s="256">
        <v>8641</v>
      </c>
      <c r="AR50" s="256">
        <v>8211</v>
      </c>
      <c r="AS50" s="256">
        <v>17072</v>
      </c>
      <c r="AT50" s="256">
        <v>8619</v>
      </c>
      <c r="AU50" s="256">
        <v>8337</v>
      </c>
      <c r="AV50" s="256">
        <v>10255</v>
      </c>
      <c r="AW50" s="256">
        <v>12204</v>
      </c>
      <c r="AX50" s="256">
        <v>-923</v>
      </c>
      <c r="AY50" s="256">
        <v>7525</v>
      </c>
      <c r="AZ50" s="256">
        <v>4342</v>
      </c>
      <c r="BA50" s="256">
        <v>-34</v>
      </c>
      <c r="BB50" s="256">
        <v>5576</v>
      </c>
      <c r="BC50" s="256">
        <v>5602</v>
      </c>
      <c r="BD50" s="2"/>
      <c r="BE50" s="2"/>
      <c r="BF50" s="75"/>
      <c r="BG50" s="35"/>
    </row>
    <row r="51" spans="1:59">
      <c r="A51" s="2"/>
      <c r="B51" s="2"/>
      <c r="C51" s="2"/>
      <c r="D51" s="2"/>
      <c r="E51" s="108"/>
      <c r="F51" s="81"/>
      <c r="G51" s="81"/>
      <c r="H51" s="81"/>
      <c r="I51" s="81"/>
      <c r="J51" s="81"/>
      <c r="K51" s="81"/>
      <c r="L51" s="81"/>
      <c r="M51" s="81"/>
      <c r="N51" s="81"/>
      <c r="O51" s="81"/>
      <c r="P51" s="81"/>
      <c r="Q51" s="81"/>
      <c r="R51" s="81"/>
      <c r="S51" s="81"/>
      <c r="T51" s="81"/>
      <c r="U51" s="81"/>
      <c r="V51" s="109"/>
      <c r="W51" s="109"/>
      <c r="X51" s="109"/>
      <c r="Y51" s="109"/>
      <c r="Z51" s="109"/>
      <c r="AA51" s="109"/>
      <c r="AB51" s="109"/>
      <c r="AC51" s="109"/>
      <c r="AD51" s="109"/>
      <c r="AE51" s="109"/>
      <c r="AF51" s="110"/>
      <c r="AG51" s="110"/>
      <c r="AH51" s="110"/>
      <c r="AI51" s="110"/>
      <c r="AJ51" s="110"/>
      <c r="AK51" s="110"/>
      <c r="AL51" s="110"/>
      <c r="AM51" s="110"/>
      <c r="AN51" s="431">
        <f>AN49+AN35</f>
        <v>54135</v>
      </c>
      <c r="AO51" s="356"/>
      <c r="AP51" s="356"/>
      <c r="AQ51" s="431">
        <f t="shared" ref="AQ51:AV51" si="44">AQ49+AQ35</f>
        <v>4119</v>
      </c>
      <c r="AR51" s="431">
        <f t="shared" si="44"/>
        <v>7898</v>
      </c>
      <c r="AS51" s="431">
        <f t="shared" si="44"/>
        <v>11016</v>
      </c>
      <c r="AT51" s="431">
        <f t="shared" si="44"/>
        <v>16069</v>
      </c>
      <c r="AU51" s="431">
        <f t="shared" si="44"/>
        <v>21452</v>
      </c>
      <c r="AV51" s="431">
        <f t="shared" si="44"/>
        <v>22580</v>
      </c>
      <c r="AW51" s="431">
        <f>AW49+AW35</f>
        <v>30056</v>
      </c>
      <c r="AX51" s="431">
        <f>AX49+AX35</f>
        <v>50288</v>
      </c>
      <c r="AY51" s="431">
        <f t="shared" ref="AY51:AZ51" si="45">AY49+AY35</f>
        <v>29110</v>
      </c>
      <c r="AZ51" s="431">
        <f t="shared" si="45"/>
        <v>25724</v>
      </c>
      <c r="BA51" s="431">
        <f t="shared" ref="BA51:BB51" si="46">BA49+BA35</f>
        <v>45271</v>
      </c>
      <c r="BB51" s="431">
        <f t="shared" si="46"/>
        <v>34249</v>
      </c>
      <c r="BC51" s="431">
        <f t="shared" ref="BC51" si="47">BC49+BC35</f>
        <v>44469</v>
      </c>
      <c r="BD51" s="2"/>
      <c r="BE51" s="2"/>
      <c r="BG51" s="61"/>
    </row>
    <row r="52" spans="1:59">
      <c r="A52" s="2"/>
      <c r="B52" s="99"/>
      <c r="C52" s="99"/>
      <c r="D52" s="99"/>
      <c r="E52" s="101"/>
      <c r="F52" s="101"/>
      <c r="G52" s="85"/>
      <c r="H52" s="85"/>
      <c r="I52" s="85"/>
      <c r="J52" s="85"/>
      <c r="K52" s="85"/>
      <c r="L52" s="108"/>
      <c r="M52" s="108"/>
      <c r="N52" s="108"/>
      <c r="O52" s="108"/>
      <c r="P52" s="108"/>
      <c r="Q52" s="108"/>
      <c r="R52" s="85"/>
      <c r="S52" s="85"/>
      <c r="T52" s="85"/>
      <c r="U52" s="85"/>
      <c r="V52" s="85"/>
      <c r="W52" s="85"/>
      <c r="X52" s="85"/>
      <c r="Y52" s="85"/>
      <c r="Z52" s="85"/>
      <c r="AA52" s="85"/>
      <c r="AB52" s="85"/>
      <c r="AC52" s="85"/>
      <c r="AD52" s="85"/>
      <c r="AE52" s="85"/>
      <c r="AF52" s="111"/>
      <c r="AG52" s="111"/>
      <c r="AH52" s="111"/>
      <c r="AI52" s="111"/>
      <c r="AJ52" s="111"/>
      <c r="AK52" s="111"/>
      <c r="AL52" s="111"/>
      <c r="AM52" s="111"/>
      <c r="AN52" s="322">
        <v>-2982</v>
      </c>
      <c r="AO52" s="322"/>
      <c r="AP52" s="322"/>
      <c r="AQ52" s="322">
        <v>5938</v>
      </c>
      <c r="AR52" s="322">
        <v>8073</v>
      </c>
      <c r="AS52" s="465">
        <f>AS38-AS43-AS42-AS50</f>
        <v>20078</v>
      </c>
      <c r="AT52" s="465">
        <f t="shared" ref="AT52:AV52" si="48">AT38-AT43-AT42-AT50</f>
        <v>16069</v>
      </c>
      <c r="AU52" s="465">
        <f t="shared" si="48"/>
        <v>21452</v>
      </c>
      <c r="AV52" s="465">
        <f t="shared" si="48"/>
        <v>15882</v>
      </c>
      <c r="AW52" s="465">
        <f>AW38-AW43-AW42-AW50</f>
        <v>30056</v>
      </c>
      <c r="AX52" s="465">
        <f>AX38-AX43-AX42-AX50</f>
        <v>16125</v>
      </c>
      <c r="AY52" s="465">
        <f t="shared" ref="AY52:AZ52" si="49">AY38-AY43-AY42-AY50</f>
        <v>13407</v>
      </c>
      <c r="AZ52" s="465">
        <f t="shared" si="49"/>
        <v>24422</v>
      </c>
      <c r="BA52" s="465">
        <f t="shared" ref="BA52:BB52" si="50">BA38-BA43-BA42-BA50</f>
        <v>20716</v>
      </c>
      <c r="BB52" s="465">
        <f t="shared" si="50"/>
        <v>41599.300000000003</v>
      </c>
      <c r="BC52" s="465">
        <f t="shared" ref="BC52" si="51">BC38-BC43-BC42-BC50</f>
        <v>35932</v>
      </c>
      <c r="BD52" s="2"/>
      <c r="BE52" s="2"/>
      <c r="BG52" s="21"/>
    </row>
    <row r="53" spans="1:59">
      <c r="A53" s="2"/>
      <c r="B53" s="102"/>
      <c r="C53" s="102"/>
      <c r="D53" s="102"/>
      <c r="E53" s="103"/>
      <c r="F53" s="103"/>
      <c r="G53" s="103"/>
      <c r="H53" s="103"/>
      <c r="I53" s="103"/>
      <c r="J53" s="103"/>
      <c r="K53" s="103"/>
      <c r="L53" s="103"/>
      <c r="M53" s="103"/>
      <c r="N53" s="103"/>
      <c r="O53" s="103"/>
      <c r="P53" s="103"/>
      <c r="Q53" s="103"/>
      <c r="R53" s="103"/>
      <c r="S53" s="103"/>
      <c r="T53" s="103"/>
      <c r="U53" s="103"/>
      <c r="V53" s="103"/>
      <c r="W53" s="103"/>
      <c r="X53" s="112"/>
      <c r="Y53" s="112"/>
      <c r="Z53" s="112"/>
      <c r="AA53" s="112"/>
      <c r="AB53" s="112"/>
      <c r="AC53" s="112"/>
      <c r="AD53" s="112"/>
      <c r="AE53" s="112"/>
      <c r="AF53" s="112"/>
      <c r="AG53" s="112"/>
      <c r="AH53" s="112"/>
      <c r="AI53" s="112"/>
      <c r="AJ53" s="112"/>
      <c r="AK53" s="112"/>
      <c r="AL53" s="112"/>
      <c r="AM53" s="112"/>
      <c r="AN53" s="112"/>
      <c r="AO53" s="112"/>
      <c r="AP53" s="112"/>
      <c r="AQ53" s="112"/>
      <c r="AR53" s="112"/>
      <c r="AS53" s="112"/>
      <c r="AT53" s="112"/>
      <c r="AU53" s="112"/>
      <c r="AV53" s="112"/>
      <c r="AW53" s="112"/>
      <c r="AX53" s="112"/>
      <c r="AY53" s="112"/>
      <c r="AZ53" s="112"/>
      <c r="BA53" s="112"/>
      <c r="BB53" s="112"/>
      <c r="BC53" s="112"/>
      <c r="BD53" s="2"/>
      <c r="BE53" s="2"/>
      <c r="BG53" s="37"/>
    </row>
    <row r="54" spans="1:59" s="27" customFormat="1">
      <c r="B54" s="510" t="s">
        <v>391</v>
      </c>
      <c r="C54" s="510"/>
      <c r="D54" s="510"/>
      <c r="E54" s="511" t="str">
        <f>E1</f>
        <v>4Q12</v>
      </c>
      <c r="F54" s="511" t="str">
        <f t="shared" ref="F54:P54" si="52">F1</f>
        <v>1Q13</v>
      </c>
      <c r="G54" s="511" t="str">
        <f t="shared" si="52"/>
        <v>2Q13</v>
      </c>
      <c r="H54" s="511" t="str">
        <f t="shared" si="52"/>
        <v>3Q13</v>
      </c>
      <c r="I54" s="511" t="str">
        <f t="shared" si="52"/>
        <v>4Q13</v>
      </c>
      <c r="J54" s="511" t="str">
        <f t="shared" si="52"/>
        <v>1Q14</v>
      </c>
      <c r="K54" s="511" t="str">
        <f t="shared" si="52"/>
        <v>2Q14</v>
      </c>
      <c r="L54" s="511" t="str">
        <f t="shared" si="52"/>
        <v>3Q14</v>
      </c>
      <c r="M54" s="511" t="str">
        <f t="shared" si="52"/>
        <v>4Q14</v>
      </c>
      <c r="N54" s="511" t="str">
        <f t="shared" si="52"/>
        <v>1Q15</v>
      </c>
      <c r="O54" s="511" t="str">
        <f t="shared" si="52"/>
        <v>2Q15</v>
      </c>
      <c r="P54" s="511" t="str">
        <f t="shared" si="52"/>
        <v>3Q15</v>
      </c>
      <c r="Q54" s="511" t="str">
        <f>Q1</f>
        <v>4Q15</v>
      </c>
      <c r="R54" s="511" t="s">
        <v>16</v>
      </c>
      <c r="S54" s="511" t="s">
        <v>17</v>
      </c>
      <c r="T54" s="511" t="s">
        <v>18</v>
      </c>
      <c r="U54" s="511" t="s">
        <v>19</v>
      </c>
      <c r="V54" s="511" t="s">
        <v>20</v>
      </c>
      <c r="W54" s="511" t="s">
        <v>24</v>
      </c>
      <c r="X54" s="511" t="s">
        <v>25</v>
      </c>
      <c r="Y54" s="511" t="s">
        <v>26</v>
      </c>
      <c r="Z54" s="511" t="str">
        <f t="shared" ref="Z54:AE54" si="53">Z1</f>
        <v>1Q18</v>
      </c>
      <c r="AA54" s="511" t="str">
        <f t="shared" si="53"/>
        <v>2Q18</v>
      </c>
      <c r="AB54" s="511" t="str">
        <f t="shared" si="53"/>
        <v>3Q18</v>
      </c>
      <c r="AC54" s="511" t="str">
        <f t="shared" si="53"/>
        <v>4Q18</v>
      </c>
      <c r="AD54" s="511" t="str">
        <f t="shared" si="53"/>
        <v>1Q19</v>
      </c>
      <c r="AE54" s="511" t="str">
        <f t="shared" si="53"/>
        <v>2Q19</v>
      </c>
      <c r="AF54" s="511" t="str">
        <f t="shared" ref="AF54:AG54" si="54">AF1</f>
        <v>3Q19</v>
      </c>
      <c r="AG54" s="511" t="str">
        <f t="shared" si="54"/>
        <v>4Q19</v>
      </c>
      <c r="AH54" s="511" t="str">
        <f t="shared" ref="AH54:AI54" si="55">AH1</f>
        <v>1Q20</v>
      </c>
      <c r="AI54" s="511" t="str">
        <f t="shared" si="55"/>
        <v>2Q20</v>
      </c>
      <c r="AJ54" s="511" t="str">
        <f t="shared" ref="AJ54:AK54" si="56">AJ1</f>
        <v>3Q20</v>
      </c>
      <c r="AK54" s="511" t="str">
        <f t="shared" si="56"/>
        <v>4Q20</v>
      </c>
      <c r="AL54" s="511" t="str">
        <f t="shared" ref="AL54:AN54" si="57">AL1</f>
        <v>1Q21</v>
      </c>
      <c r="AM54" s="511" t="str">
        <f t="shared" si="57"/>
        <v>2Q21</v>
      </c>
      <c r="AN54" s="511" t="str">
        <f t="shared" si="57"/>
        <v>3Q21</v>
      </c>
      <c r="AO54" s="511" t="str">
        <f t="shared" ref="AO54:AP54" si="58">AO1</f>
        <v>4Q21</v>
      </c>
      <c r="AP54" s="511" t="str">
        <f t="shared" si="58"/>
        <v>1Q22</v>
      </c>
      <c r="AQ54" s="511" t="str">
        <f t="shared" ref="AQ54:AR54" si="59">AQ1</f>
        <v>2Q22</v>
      </c>
      <c r="AR54" s="511" t="str">
        <f t="shared" si="59"/>
        <v>3Q22</v>
      </c>
      <c r="AS54" s="511" t="str">
        <f t="shared" ref="AS54:AT54" si="60">AS1</f>
        <v>4Q22</v>
      </c>
      <c r="AT54" s="511" t="str">
        <f t="shared" si="60"/>
        <v>1Q23</v>
      </c>
      <c r="AU54" s="511" t="str">
        <f t="shared" ref="AU54:AV54" si="61">AU1</f>
        <v>2Q23</v>
      </c>
      <c r="AV54" s="511" t="str">
        <f t="shared" si="61"/>
        <v>3Q23</v>
      </c>
      <c r="AW54" s="511" t="str">
        <f t="shared" ref="AW54:AY54" si="62">AW1</f>
        <v>4Q23</v>
      </c>
      <c r="AX54" s="511" t="str">
        <f t="shared" si="62"/>
        <v>1Q24</v>
      </c>
      <c r="AY54" s="511" t="str">
        <f t="shared" si="62"/>
        <v>2Q24</v>
      </c>
      <c r="AZ54" s="511" t="str">
        <f t="shared" ref="AZ54:BA54" si="63">AZ1</f>
        <v>3Q24</v>
      </c>
      <c r="BA54" s="511" t="str">
        <f t="shared" si="63"/>
        <v>4Q24</v>
      </c>
      <c r="BB54" s="511" t="str">
        <f t="shared" ref="BB54:BC54" si="64">BB1</f>
        <v>1Q25</v>
      </c>
      <c r="BC54" s="511" t="str">
        <f t="shared" si="64"/>
        <v>2Q25</v>
      </c>
      <c r="BD54" s="510"/>
      <c r="BE54" s="510"/>
    </row>
    <row r="55" spans="1:59" s="27" customFormat="1">
      <c r="A55" s="176"/>
      <c r="B55" s="176"/>
      <c r="C55" s="176"/>
      <c r="D55" s="176"/>
      <c r="E55" s="281"/>
      <c r="F55" s="281"/>
      <c r="G55" s="281"/>
      <c r="H55" s="281"/>
      <c r="I55" s="281"/>
      <c r="J55" s="281"/>
      <c r="K55" s="281"/>
      <c r="L55" s="281"/>
      <c r="M55" s="281"/>
      <c r="N55" s="281"/>
      <c r="O55" s="281"/>
      <c r="P55" s="281"/>
      <c r="Q55" s="281"/>
      <c r="R55" s="281"/>
      <c r="S55" s="281"/>
      <c r="T55" s="281"/>
      <c r="U55" s="281"/>
      <c r="V55" s="281"/>
      <c r="W55" s="281"/>
      <c r="X55" s="281"/>
      <c r="Y55" s="281"/>
      <c r="Z55" s="281"/>
      <c r="AA55" s="281"/>
      <c r="AB55" s="281"/>
      <c r="AC55" s="281"/>
      <c r="AD55" s="281"/>
      <c r="AE55" s="281"/>
      <c r="AF55" s="108"/>
      <c r="AG55" s="108"/>
      <c r="AH55" s="108"/>
      <c r="AI55" s="108"/>
      <c r="AJ55" s="108"/>
      <c r="AK55" s="108"/>
      <c r="AL55" s="108"/>
      <c r="AM55" s="108"/>
      <c r="AN55" s="108"/>
      <c r="AO55" s="108"/>
      <c r="AP55" s="108"/>
      <c r="AQ55" s="108"/>
      <c r="AR55" s="108"/>
      <c r="AS55" s="108"/>
      <c r="AT55" s="108"/>
      <c r="AU55" s="108"/>
      <c r="AV55" s="108"/>
      <c r="AW55" s="108"/>
      <c r="AX55" s="108"/>
      <c r="AY55" s="108"/>
      <c r="AZ55" s="108"/>
      <c r="BA55" s="108"/>
      <c r="BB55" s="108"/>
      <c r="BC55" s="108"/>
      <c r="BD55" s="176"/>
      <c r="BE55" s="176"/>
      <c r="BG55" s="25"/>
    </row>
    <row r="56" spans="1:59">
      <c r="A56" s="2"/>
      <c r="B56" s="13" t="s">
        <v>870</v>
      </c>
      <c r="C56" s="13"/>
      <c r="D56" s="13"/>
      <c r="E56" s="136"/>
      <c r="F56" s="136"/>
      <c r="G56" s="136"/>
      <c r="H56" s="136"/>
      <c r="I56" s="137">
        <f t="shared" ref="I56:BC56" si="65">I4/E4-1</f>
        <v>9.1780836545751532E-2</v>
      </c>
      <c r="J56" s="137">
        <f t="shared" si="65"/>
        <v>4.7224562146965576E-2</v>
      </c>
      <c r="K56" s="137">
        <f t="shared" si="65"/>
        <v>5.1851705700136197E-2</v>
      </c>
      <c r="L56" s="137">
        <f t="shared" si="65"/>
        <v>8.3944761481261843E-2</v>
      </c>
      <c r="M56" s="137">
        <f t="shared" si="65"/>
        <v>8.6603352829561331E-2</v>
      </c>
      <c r="N56" s="137">
        <f t="shared" si="65"/>
        <v>0.1331283711427711</v>
      </c>
      <c r="O56" s="137">
        <f t="shared" si="65"/>
        <v>7.1317364146236129E-2</v>
      </c>
      <c r="P56" s="137">
        <f t="shared" si="65"/>
        <v>5.8281103995259542E-2</v>
      </c>
      <c r="Q56" s="137">
        <f t="shared" si="65"/>
        <v>3.5833712133145568E-2</v>
      </c>
      <c r="R56" s="137">
        <f t="shared" si="65"/>
        <v>3.0890704480524001E-2</v>
      </c>
      <c r="S56" s="137">
        <f t="shared" si="65"/>
        <v>4.3357029047677464E-2</v>
      </c>
      <c r="T56" s="137">
        <f t="shared" si="65"/>
        <v>3.6559260200455634E-2</v>
      </c>
      <c r="U56" s="137">
        <f t="shared" si="65"/>
        <v>8.4469162086419969E-2</v>
      </c>
      <c r="V56" s="137">
        <f t="shared" si="65"/>
        <v>7.9236530930382854E-2</v>
      </c>
      <c r="W56" s="138">
        <f t="shared" si="65"/>
        <v>3.4225971966420188E-2</v>
      </c>
      <c r="X56" s="138">
        <f t="shared" si="65"/>
        <v>-3.0341686785036126E-2</v>
      </c>
      <c r="Y56" s="138">
        <f t="shared" si="65"/>
        <v>-0.1211958524976362</v>
      </c>
      <c r="Z56" s="138">
        <f t="shared" si="65"/>
        <v>-0.14046542579218291</v>
      </c>
      <c r="AA56" s="138">
        <f t="shared" si="65"/>
        <v>-0.11660953694501353</v>
      </c>
      <c r="AB56" s="138">
        <f t="shared" si="65"/>
        <v>-0.12929117189542205</v>
      </c>
      <c r="AC56" s="138">
        <f t="shared" si="65"/>
        <v>-0.1048708433251575</v>
      </c>
      <c r="AD56" s="138">
        <f t="shared" si="65"/>
        <v>-9.8319071322199969E-2</v>
      </c>
      <c r="AE56" s="138">
        <f t="shared" si="65"/>
        <v>-7.4813219512419149E-2</v>
      </c>
      <c r="AF56" s="139">
        <f t="shared" si="65"/>
        <v>-4.3063990629275128E-3</v>
      </c>
      <c r="AG56" s="139">
        <f t="shared" si="65"/>
        <v>4.9296384388544556E-2</v>
      </c>
      <c r="AH56" s="139">
        <f t="shared" si="65"/>
        <v>4.7411006505313269E-2</v>
      </c>
      <c r="AI56" s="139">
        <f t="shared" si="65"/>
        <v>4.881946822714256E-2</v>
      </c>
      <c r="AJ56" s="139">
        <f t="shared" si="65"/>
        <v>8.4819905986327937E-2</v>
      </c>
      <c r="AK56" s="139">
        <f t="shared" si="65"/>
        <v>0.11729329877391725</v>
      </c>
      <c r="AL56" s="139">
        <f t="shared" si="65"/>
        <v>0.12307900028450325</v>
      </c>
      <c r="AM56" s="139">
        <f t="shared" si="65"/>
        <v>0.18593744824028802</v>
      </c>
      <c r="AN56" s="139">
        <f t="shared" si="65"/>
        <v>0.2082598612117319</v>
      </c>
      <c r="AO56" s="139">
        <f t="shared" si="65"/>
        <v>0.11853840573099261</v>
      </c>
      <c r="AP56" s="139">
        <f t="shared" si="65"/>
        <v>0.15299502367938578</v>
      </c>
      <c r="AQ56" s="139">
        <f t="shared" si="65"/>
        <v>0.13032513447510818</v>
      </c>
      <c r="AR56" s="139">
        <f t="shared" si="65"/>
        <v>0.12628498593397652</v>
      </c>
      <c r="AS56" s="139">
        <f t="shared" si="65"/>
        <v>0.22344090448318843</v>
      </c>
      <c r="AT56" s="139">
        <f t="shared" si="65"/>
        <v>0.22160902076444122</v>
      </c>
      <c r="AU56" s="139">
        <f t="shared" si="65"/>
        <v>0.21889121102575682</v>
      </c>
      <c r="AV56" s="139">
        <f t="shared" si="65"/>
        <v>0.19881071163105268</v>
      </c>
      <c r="AW56" s="139">
        <f t="shared" si="65"/>
        <v>0.14313197017171264</v>
      </c>
      <c r="AX56" s="139">
        <f t="shared" si="65"/>
        <v>0.1413033537979429</v>
      </c>
      <c r="AY56" s="139">
        <f t="shared" si="65"/>
        <v>7.2899892257608512E-2</v>
      </c>
      <c r="AZ56" s="139">
        <f t="shared" si="65"/>
        <v>5.8515154562009064E-2</v>
      </c>
      <c r="BA56" s="139">
        <f t="shared" si="65"/>
        <v>4.4158404843233745E-2</v>
      </c>
      <c r="BB56" s="139">
        <f t="shared" si="65"/>
        <v>2.8482905982905926E-2</v>
      </c>
      <c r="BC56" s="139">
        <f t="shared" si="65"/>
        <v>0.11957466566604946</v>
      </c>
      <c r="BD56" s="2"/>
      <c r="BE56" s="2"/>
      <c r="BG56" s="21"/>
    </row>
    <row r="57" spans="1:59">
      <c r="A57" s="2"/>
      <c r="B57" s="13" t="s">
        <v>871</v>
      </c>
      <c r="C57" s="13"/>
      <c r="D57" s="13"/>
      <c r="E57" s="136"/>
      <c r="F57" s="136"/>
      <c r="G57" s="136"/>
      <c r="H57" s="136"/>
      <c r="I57" s="137"/>
      <c r="J57" s="139">
        <f>J4/I4-1</f>
        <v>-9.0227108233407183E-3</v>
      </c>
      <c r="K57" s="139">
        <f t="shared" ref="K57:BC57" si="66">K4/J4-1</f>
        <v>5.2334446972201798E-2</v>
      </c>
      <c r="L57" s="139">
        <f t="shared" si="66"/>
        <v>2.8797996661101832E-2</v>
      </c>
      <c r="M57" s="139">
        <f t="shared" si="66"/>
        <v>1.2799416550812515E-2</v>
      </c>
      <c r="N57" s="139">
        <f t="shared" si="66"/>
        <v>3.3407893137947564E-2</v>
      </c>
      <c r="O57" s="139">
        <f t="shared" si="66"/>
        <v>-5.0693331475158976E-3</v>
      </c>
      <c r="P57" s="139">
        <f t="shared" si="66"/>
        <v>1.6279130845866963E-2</v>
      </c>
      <c r="Q57" s="139">
        <f t="shared" si="66"/>
        <v>-8.6832550146228593E-3</v>
      </c>
      <c r="R57" s="139">
        <f t="shared" si="66"/>
        <v>2.8476461515065887E-2</v>
      </c>
      <c r="S57" s="139">
        <f t="shared" si="66"/>
        <v>6.9621349420596612E-3</v>
      </c>
      <c r="T57" s="139">
        <f t="shared" si="66"/>
        <v>9.6577822342116537E-3</v>
      </c>
      <c r="U57" s="139">
        <f t="shared" si="66"/>
        <v>3.7135532018333084E-2</v>
      </c>
      <c r="V57" s="139">
        <f t="shared" si="66"/>
        <v>2.3513998621772725E-2</v>
      </c>
      <c r="W57" s="139">
        <f t="shared" si="66"/>
        <v>-3.5034153406533153E-2</v>
      </c>
      <c r="X57" s="139">
        <f t="shared" si="66"/>
        <v>-5.3376062308581607E-2</v>
      </c>
      <c r="Y57" s="139">
        <f t="shared" si="66"/>
        <v>-6.0041052978912157E-2</v>
      </c>
      <c r="Z57" s="139">
        <f t="shared" si="66"/>
        <v>1.0713666991875037E-3</v>
      </c>
      <c r="AA57" s="139">
        <f t="shared" si="66"/>
        <v>-8.2520800980048215E-3</v>
      </c>
      <c r="AB57" s="139">
        <f t="shared" si="66"/>
        <v>-6.6965454219838461E-2</v>
      </c>
      <c r="AC57" s="139">
        <f t="shared" si="66"/>
        <v>-3.3678501471558042E-2</v>
      </c>
      <c r="AD57" s="139">
        <f t="shared" si="66"/>
        <v>8.3985678124507412E-3</v>
      </c>
      <c r="AE57" s="139">
        <f t="shared" si="66"/>
        <v>1.7601721281667926E-2</v>
      </c>
      <c r="AF57" s="139">
        <f t="shared" si="66"/>
        <v>4.1394303071815575E-3</v>
      </c>
      <c r="AG57" s="139">
        <f t="shared" si="66"/>
        <v>1.8343046102287985E-2</v>
      </c>
      <c r="AH57" s="139">
        <f t="shared" si="66"/>
        <v>6.5866752094436709E-3</v>
      </c>
      <c r="AI57" s="139">
        <f t="shared" si="66"/>
        <v>1.8970098225953524E-2</v>
      </c>
      <c r="AJ57" s="139">
        <f t="shared" si="66"/>
        <v>3.860623813963171E-2</v>
      </c>
      <c r="AK57" s="139">
        <f t="shared" si="66"/>
        <v>4.8826496439165146E-2</v>
      </c>
      <c r="AL57" s="139">
        <f t="shared" si="66"/>
        <v>1.1799102468862177E-2</v>
      </c>
      <c r="AM57" s="139">
        <f t="shared" si="66"/>
        <v>7.6001597231465379E-2</v>
      </c>
      <c r="AN57" s="139">
        <f t="shared" si="66"/>
        <v>5.8155496320888789E-2</v>
      </c>
      <c r="AO57" s="139">
        <f t="shared" si="66"/>
        <v>-2.9055954868050904E-2</v>
      </c>
      <c r="AP57" s="139">
        <f t="shared" si="66"/>
        <v>4.2967612137971845E-2</v>
      </c>
      <c r="AQ57" s="139">
        <f t="shared" si="66"/>
        <v>5.4845532814967068E-2</v>
      </c>
      <c r="AR57" s="139">
        <f t="shared" si="66"/>
        <v>5.4373305467690924E-2</v>
      </c>
      <c r="AS57" s="139">
        <f t="shared" si="66"/>
        <v>5.4699898883702858E-2</v>
      </c>
      <c r="AT57" s="139">
        <f t="shared" si="66"/>
        <v>4.1405954863921846E-2</v>
      </c>
      <c r="AU57" s="139">
        <f t="shared" si="66"/>
        <v>5.2498734933515312E-2</v>
      </c>
      <c r="AV57" s="139">
        <f t="shared" si="66"/>
        <v>3.7003139590115586E-2</v>
      </c>
      <c r="AW57" s="139">
        <f t="shared" si="66"/>
        <v>5.7143814726681175E-3</v>
      </c>
      <c r="AX57" s="139">
        <f t="shared" si="66"/>
        <v>3.9740064983754042E-2</v>
      </c>
      <c r="AY57" s="139">
        <f t="shared" si="66"/>
        <v>-1.0582264957264997E-2</v>
      </c>
      <c r="AZ57" s="139">
        <f t="shared" si="66"/>
        <v>2.3099681998067112E-2</v>
      </c>
      <c r="BA57" s="139">
        <f t="shared" si="66"/>
        <v>-7.9262259396561952E-3</v>
      </c>
      <c r="BB57" s="139">
        <f t="shared" si="66"/>
        <v>2.4130896750188091E-2</v>
      </c>
      <c r="BC57" s="139">
        <f t="shared" si="66"/>
        <v>7.7049529428874219E-2</v>
      </c>
      <c r="BD57" s="2"/>
      <c r="BE57" s="2"/>
      <c r="BG57" s="21"/>
    </row>
    <row r="58" spans="1:59">
      <c r="A58" s="2"/>
      <c r="B58" s="13"/>
      <c r="C58" s="13"/>
      <c r="D58" s="13"/>
      <c r="E58" s="136"/>
      <c r="F58" s="136"/>
      <c r="G58" s="136"/>
      <c r="H58" s="136"/>
      <c r="I58" s="137"/>
      <c r="J58" s="137"/>
      <c r="K58" s="137"/>
      <c r="L58" s="137"/>
      <c r="M58" s="137"/>
      <c r="N58" s="137"/>
      <c r="O58" s="137"/>
      <c r="P58" s="137"/>
      <c r="Q58" s="137"/>
      <c r="R58" s="137"/>
      <c r="S58" s="137"/>
      <c r="T58" s="137"/>
      <c r="U58" s="137"/>
      <c r="V58" s="137"/>
      <c r="W58" s="138"/>
      <c r="X58" s="138"/>
      <c r="Y58" s="138"/>
      <c r="Z58" s="138"/>
      <c r="AA58" s="138"/>
      <c r="AB58" s="138"/>
      <c r="AC58" s="138"/>
      <c r="AD58" s="138"/>
      <c r="AE58" s="138"/>
      <c r="AF58" s="139"/>
      <c r="AG58" s="139"/>
      <c r="AH58" s="139"/>
      <c r="AI58" s="139"/>
      <c r="AJ58" s="139"/>
      <c r="AK58" s="139"/>
      <c r="AL58" s="139"/>
      <c r="AM58" s="139"/>
      <c r="AN58" s="139"/>
      <c r="AO58" s="139"/>
      <c r="AP58" s="139"/>
      <c r="AQ58" s="139"/>
      <c r="AR58" s="139"/>
      <c r="AS58" s="139"/>
      <c r="AT58" s="139"/>
      <c r="AU58" s="139"/>
      <c r="AV58" s="139"/>
      <c r="AW58" s="139"/>
      <c r="AX58" s="139"/>
      <c r="AY58" s="139"/>
      <c r="AZ58" s="139"/>
      <c r="BA58" s="139"/>
      <c r="BB58" s="139"/>
      <c r="BC58" s="139"/>
      <c r="BD58" s="2"/>
      <c r="BE58" s="2"/>
      <c r="BG58" s="21"/>
    </row>
    <row r="59" spans="1:59">
      <c r="A59" s="2"/>
      <c r="B59" s="2" t="s">
        <v>392</v>
      </c>
      <c r="C59" s="2"/>
      <c r="D59" s="2"/>
      <c r="E59" s="113"/>
      <c r="F59" s="113"/>
      <c r="G59" s="113"/>
      <c r="H59" s="113"/>
      <c r="I59" s="114">
        <f t="shared" ref="I59:W59" si="67">I7/E7-1</f>
        <v>9.1873545798023315E-2</v>
      </c>
      <c r="J59" s="114">
        <f t="shared" si="67"/>
        <v>4.8424999612641351E-2</v>
      </c>
      <c r="K59" s="114">
        <f t="shared" si="67"/>
        <v>5.2250653256421531E-2</v>
      </c>
      <c r="L59" s="114">
        <f t="shared" si="67"/>
        <v>8.4280896823790252E-2</v>
      </c>
      <c r="M59" s="114">
        <f t="shared" si="67"/>
        <v>8.7979707141600416E-2</v>
      </c>
      <c r="N59" s="114">
        <f t="shared" si="67"/>
        <v>0.13330377595507281</v>
      </c>
      <c r="O59" s="114">
        <f t="shared" si="67"/>
        <v>7.1166857207114242E-2</v>
      </c>
      <c r="P59" s="114">
        <f t="shared" si="67"/>
        <v>5.7712185859285059E-2</v>
      </c>
      <c r="Q59" s="114">
        <f t="shared" si="67"/>
        <v>3.5008198378293498E-2</v>
      </c>
      <c r="R59" s="114">
        <f t="shared" si="67"/>
        <v>2.9353850166264683E-2</v>
      </c>
      <c r="S59" s="114">
        <f t="shared" si="67"/>
        <v>4.3312614547474704E-2</v>
      </c>
      <c r="T59" s="114">
        <f t="shared" si="67"/>
        <v>3.7682806600626062E-2</v>
      </c>
      <c r="U59" s="114">
        <f t="shared" si="67"/>
        <v>8.4345350220053961E-2</v>
      </c>
      <c r="V59" s="114">
        <f t="shared" si="67"/>
        <v>7.9900172291476723E-2</v>
      </c>
      <c r="W59" s="115">
        <f t="shared" si="67"/>
        <v>3.436204243687091E-2</v>
      </c>
      <c r="X59" s="115">
        <f t="shared" ref="X59:AC59" si="68">X7/T7-1</f>
        <v>-3.0680318959151021E-2</v>
      </c>
      <c r="Y59" s="115">
        <f t="shared" si="68"/>
        <v>-0.12018124251994344</v>
      </c>
      <c r="Z59" s="115">
        <f t="shared" si="68"/>
        <v>-0.13945231084468324</v>
      </c>
      <c r="AA59" s="115">
        <f t="shared" si="68"/>
        <v>-0.11508420647305595</v>
      </c>
      <c r="AB59" s="115">
        <f t="shared" si="68"/>
        <v>-0.12736315426790901</v>
      </c>
      <c r="AC59" s="115">
        <f t="shared" si="68"/>
        <v>-0.10331838075393751</v>
      </c>
      <c r="AD59" s="115">
        <f t="shared" ref="AD59:AN59" si="69">AD7/Z7-1</f>
        <v>-9.5779921569340232E-2</v>
      </c>
      <c r="AE59" s="115">
        <f t="shared" si="69"/>
        <v>-7.3977885874991989E-2</v>
      </c>
      <c r="AF59" s="116">
        <f t="shared" si="69"/>
        <v>-4.3946988944585375E-3</v>
      </c>
      <c r="AG59" s="116">
        <f t="shared" si="69"/>
        <v>4.8057799245037947E-2</v>
      </c>
      <c r="AH59" s="116">
        <f t="shared" si="69"/>
        <v>5.6962947700626598E-2</v>
      </c>
      <c r="AI59" s="116">
        <f t="shared" si="69"/>
        <v>6.2363049101997747E-2</v>
      </c>
      <c r="AJ59" s="116">
        <f t="shared" si="69"/>
        <v>9.9514252214438326E-2</v>
      </c>
      <c r="AK59" s="116">
        <f t="shared" si="69"/>
        <v>0.15402676116339409</v>
      </c>
      <c r="AL59" s="116">
        <f t="shared" si="69"/>
        <v>0.12668630217664179</v>
      </c>
      <c r="AM59" s="116">
        <f t="shared" si="69"/>
        <v>0.17159885361697369</v>
      </c>
      <c r="AN59" s="116">
        <f t="shared" si="69"/>
        <v>0.19035244146138197</v>
      </c>
      <c r="AO59" s="116">
        <f t="shared" ref="AO59:AS59" si="70">AO7/AK7-1</f>
        <v>8.3592927407345252E-2</v>
      </c>
      <c r="AP59" s="116">
        <f t="shared" si="70"/>
        <v>0.14206417740634203</v>
      </c>
      <c r="AQ59" s="116">
        <f t="shared" si="70"/>
        <v>0.13001844695134879</v>
      </c>
      <c r="AR59" s="116">
        <f t="shared" si="70"/>
        <v>0.1316181729212933</v>
      </c>
      <c r="AS59" s="116">
        <f t="shared" si="70"/>
        <v>0.22018579835338858</v>
      </c>
      <c r="AT59" s="116">
        <f t="shared" ref="AT59:BC59" si="71">AT7/AP7-1</f>
        <v>0.21924074580429664</v>
      </c>
      <c r="AU59" s="116">
        <f t="shared" si="71"/>
        <v>0.2213277909070448</v>
      </c>
      <c r="AV59" s="116">
        <f t="shared" si="71"/>
        <v>0.19951968653226326</v>
      </c>
      <c r="AW59" s="116">
        <f t="shared" si="71"/>
        <v>0.15149640374505458</v>
      </c>
      <c r="AX59" s="116">
        <f t="shared" si="71"/>
        <v>0.14521105076855934</v>
      </c>
      <c r="AY59" s="116">
        <f t="shared" si="71"/>
        <v>7.6176188570260317E-2</v>
      </c>
      <c r="AZ59" s="116">
        <f t="shared" si="71"/>
        <v>6.3149575730686136E-2</v>
      </c>
      <c r="BA59" s="116">
        <f t="shared" si="71"/>
        <v>4.4693460884611458E-2</v>
      </c>
      <c r="BB59" s="116">
        <f t="shared" si="71"/>
        <v>2.8622615994897904E-2</v>
      </c>
      <c r="BC59" s="116">
        <f t="shared" si="71"/>
        <v>0.11649212558395905</v>
      </c>
      <c r="BD59" s="2"/>
      <c r="BE59" s="2"/>
      <c r="BG59" s="61"/>
    </row>
    <row r="60" spans="1:59">
      <c r="A60" s="2"/>
      <c r="B60" s="2" t="s">
        <v>393</v>
      </c>
      <c r="C60" s="2"/>
      <c r="D60" s="2"/>
      <c r="E60" s="85"/>
      <c r="F60" s="114">
        <f>F7/E7-1</f>
        <v>3.3251862445834224E-2</v>
      </c>
      <c r="G60" s="114">
        <f t="shared" ref="G60:X60" si="72">G7/F7-1</f>
        <v>4.7572810519628694E-2</v>
      </c>
      <c r="H60" s="114">
        <f t="shared" si="72"/>
        <v>-1.4445594833111253E-3</v>
      </c>
      <c r="I60" s="114">
        <f t="shared" si="72"/>
        <v>1.0205542690965075E-2</v>
      </c>
      <c r="J60" s="114">
        <f t="shared" si="72"/>
        <v>-7.8639713788586363E-3</v>
      </c>
      <c r="K60" s="114">
        <f t="shared" si="72"/>
        <v>5.1395354565383355E-2</v>
      </c>
      <c r="L60" s="114">
        <f t="shared" si="72"/>
        <v>2.8951215398167029E-2</v>
      </c>
      <c r="M60" s="114">
        <f t="shared" si="72"/>
        <v>1.3651659555478757E-2</v>
      </c>
      <c r="N60" s="114">
        <f t="shared" si="72"/>
        <v>3.3467352485343937E-2</v>
      </c>
      <c r="O60" s="114">
        <f t="shared" si="72"/>
        <v>-6.2506791854122223E-3</v>
      </c>
      <c r="P60" s="114">
        <f t="shared" si="72"/>
        <v>1.6026804655821847E-2</v>
      </c>
      <c r="Q60" s="114">
        <f t="shared" si="72"/>
        <v>-8.1065605882529868E-3</v>
      </c>
      <c r="R60" s="114">
        <f t="shared" si="72"/>
        <v>2.7821422060955392E-2</v>
      </c>
      <c r="S60" s="114">
        <f t="shared" si="72"/>
        <v>7.2252626600453063E-3</v>
      </c>
      <c r="T60" s="114">
        <f t="shared" si="72"/>
        <v>1.0544233373442014E-2</v>
      </c>
      <c r="U60" s="114">
        <f t="shared" si="72"/>
        <v>3.6496925744915698E-2</v>
      </c>
      <c r="V60" s="114">
        <f t="shared" si="72"/>
        <v>2.3607958980270682E-2</v>
      </c>
      <c r="W60" s="114">
        <f t="shared" si="72"/>
        <v>-3.5248251078289883E-2</v>
      </c>
      <c r="X60" s="114">
        <f t="shared" si="72"/>
        <v>-5.3000425592282574E-2</v>
      </c>
      <c r="Y60" s="114">
        <f t="shared" ref="Y60:AC60" si="73">Y7/X7-1</f>
        <v>-5.9206724904660613E-2</v>
      </c>
      <c r="Z60" s="114">
        <f t="shared" si="73"/>
        <v>1.1874107167229031E-3</v>
      </c>
      <c r="AA60" s="114">
        <f t="shared" si="73"/>
        <v>-7.9294033180804524E-3</v>
      </c>
      <c r="AB60" s="114">
        <f t="shared" si="73"/>
        <v>-6.6140837845017897E-2</v>
      </c>
      <c r="AC60" s="115">
        <f t="shared" si="73"/>
        <v>-3.3283958368075628E-2</v>
      </c>
      <c r="AD60" s="115">
        <f t="shared" ref="AD60:AO60" si="74">AD7/AC7-1</f>
        <v>9.60445671145016E-3</v>
      </c>
      <c r="AE60" s="115">
        <f t="shared" si="74"/>
        <v>1.599083366417231E-2</v>
      </c>
      <c r="AF60" s="116">
        <f t="shared" si="74"/>
        <v>4.0312408802449795E-3</v>
      </c>
      <c r="AG60" s="116">
        <f t="shared" si="74"/>
        <v>1.7646537199609735E-2</v>
      </c>
      <c r="AH60" s="116">
        <f t="shared" si="74"/>
        <v>1.8182874404554461E-2</v>
      </c>
      <c r="AI60" s="116">
        <f t="shared" si="74"/>
        <v>2.1181605522907487E-2</v>
      </c>
      <c r="AJ60" s="116">
        <f t="shared" si="74"/>
        <v>3.9142560492413159E-2</v>
      </c>
      <c r="AK60" s="116">
        <f t="shared" si="74"/>
        <v>6.8100149650963671E-2</v>
      </c>
      <c r="AL60" s="116">
        <f t="shared" si="74"/>
        <v>-5.9392586823835414E-3</v>
      </c>
      <c r="AM60" s="116">
        <f t="shared" si="74"/>
        <v>6.1888474239926605E-2</v>
      </c>
      <c r="AN60" s="116">
        <f t="shared" si="74"/>
        <v>5.5775942499313613E-2</v>
      </c>
      <c r="AO60" s="116">
        <f t="shared" si="74"/>
        <v>-2.7694884631309535E-2</v>
      </c>
      <c r="AP60" s="116">
        <f t="shared" ref="AP60:BC60" si="75">AP7/AO7-1</f>
        <v>4.7700786993108757E-2</v>
      </c>
      <c r="AQ60" s="116">
        <f t="shared" si="75"/>
        <v>5.0688383573386897E-2</v>
      </c>
      <c r="AR60" s="116">
        <f t="shared" si="75"/>
        <v>5.7270566058969186E-2</v>
      </c>
      <c r="AS60" s="116">
        <f t="shared" si="75"/>
        <v>4.8403889075529616E-2</v>
      </c>
      <c r="AT60" s="116">
        <f t="shared" si="75"/>
        <v>4.6889326721427427E-2</v>
      </c>
      <c r="AU60" s="116">
        <f t="shared" si="75"/>
        <v>5.2486907821364559E-2</v>
      </c>
      <c r="AV60" s="116">
        <f t="shared" si="75"/>
        <v>3.8391877611312797E-2</v>
      </c>
      <c r="AW60" s="116">
        <f t="shared" si="75"/>
        <v>6.4305917586378047E-3</v>
      </c>
      <c r="AX60" s="116">
        <f t="shared" si="75"/>
        <v>4.1174963285841359E-2</v>
      </c>
      <c r="AY60" s="116">
        <f t="shared" si="75"/>
        <v>-1.0958418346419418E-2</v>
      </c>
      <c r="AZ60" s="116">
        <f t="shared" si="75"/>
        <v>2.5822626303706908E-2</v>
      </c>
      <c r="BA60" s="116">
        <f t="shared" si="75"/>
        <v>-1.1040890157097305E-2</v>
      </c>
      <c r="BB60" s="116">
        <f t="shared" si="75"/>
        <v>2.5158244540563368E-2</v>
      </c>
      <c r="BC60" s="116">
        <f t="shared" si="75"/>
        <v>7.3529903601501356E-2</v>
      </c>
      <c r="BD60" s="2"/>
      <c r="BE60" s="2"/>
      <c r="BG60" s="61"/>
    </row>
    <row r="61" spans="1:59">
      <c r="A61" s="2"/>
      <c r="B61" s="2"/>
      <c r="C61" s="2"/>
      <c r="D61" s="2"/>
      <c r="E61" s="85"/>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9"/>
      <c r="AG61" s="119"/>
      <c r="AH61" s="119"/>
      <c r="AI61" s="119"/>
      <c r="AJ61" s="119"/>
      <c r="AK61" s="119"/>
      <c r="AL61" s="119"/>
      <c r="AM61" s="119"/>
      <c r="AN61" s="119"/>
      <c r="AO61" s="119"/>
      <c r="AP61" s="119"/>
      <c r="AQ61" s="119"/>
      <c r="AR61" s="119"/>
      <c r="AS61" s="119"/>
      <c r="AT61" s="119"/>
      <c r="AU61" s="119"/>
      <c r="AV61" s="119"/>
      <c r="AW61" s="119"/>
      <c r="AX61" s="119"/>
      <c r="AY61" s="119"/>
      <c r="AZ61" s="119"/>
      <c r="BA61" s="119"/>
      <c r="BB61" s="119"/>
      <c r="BC61" s="119"/>
      <c r="BD61" s="2"/>
      <c r="BE61" s="2"/>
      <c r="BG61" s="61"/>
    </row>
    <row r="62" spans="1:59">
      <c r="A62" s="2"/>
      <c r="B62" s="2" t="s">
        <v>394</v>
      </c>
      <c r="C62" s="2"/>
      <c r="D62" s="2"/>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111"/>
      <c r="AG62" s="111"/>
      <c r="AH62" s="111"/>
      <c r="AI62" s="111"/>
      <c r="AJ62" s="111"/>
      <c r="AK62" s="111"/>
      <c r="AL62" s="111"/>
      <c r="AM62" s="111"/>
      <c r="AN62" s="111"/>
      <c r="AO62" s="111"/>
      <c r="AP62" s="111"/>
      <c r="AQ62" s="111"/>
      <c r="AR62" s="111"/>
      <c r="AS62" s="111"/>
      <c r="AT62" s="111"/>
      <c r="AU62" s="111"/>
      <c r="AV62" s="111"/>
      <c r="AW62" s="111"/>
      <c r="AX62" s="111"/>
      <c r="AY62" s="111"/>
      <c r="AZ62" s="111"/>
      <c r="BA62" s="111"/>
      <c r="BB62" s="111"/>
      <c r="BC62" s="111"/>
      <c r="BD62" s="2"/>
      <c r="BE62" s="13"/>
      <c r="BG62" s="61"/>
    </row>
    <row r="63" spans="1:59">
      <c r="A63" s="2"/>
      <c r="B63" s="88" t="s">
        <v>216</v>
      </c>
      <c r="C63" s="88"/>
      <c r="D63" s="88"/>
      <c r="E63" s="113"/>
      <c r="F63" s="113"/>
      <c r="G63" s="113"/>
      <c r="H63" s="113"/>
      <c r="I63" s="113"/>
      <c r="J63" s="113"/>
      <c r="K63" s="113"/>
      <c r="L63" s="113"/>
      <c r="M63" s="113"/>
      <c r="N63" s="113"/>
      <c r="O63" s="113"/>
      <c r="P63" s="113"/>
      <c r="Q63" s="114"/>
      <c r="R63" s="133">
        <f t="shared" ref="R63:W65" si="76">R10/R$7</f>
        <v>0.21846071286443025</v>
      </c>
      <c r="S63" s="134">
        <f t="shared" si="76"/>
        <v>0.22163217040151936</v>
      </c>
      <c r="T63" s="134">
        <f t="shared" si="76"/>
        <v>0.22216782694557613</v>
      </c>
      <c r="U63" s="134">
        <f t="shared" si="76"/>
        <v>0.21512142208132698</v>
      </c>
      <c r="V63" s="134">
        <f t="shared" si="76"/>
        <v>0.21099676667487849</v>
      </c>
      <c r="W63" s="134">
        <f t="shared" si="76"/>
        <v>0.20644631989542586</v>
      </c>
      <c r="X63" s="134">
        <f t="shared" ref="X63:AC63" si="77">X10/X$7</f>
        <v>0.2252823564858607</v>
      </c>
      <c r="Y63" s="134">
        <f t="shared" si="77"/>
        <v>0.23487920964395875</v>
      </c>
      <c r="Z63" s="134">
        <f t="shared" si="77"/>
        <v>0.23452857538840444</v>
      </c>
      <c r="AA63" s="134">
        <f t="shared" si="77"/>
        <v>0.231181465908154</v>
      </c>
      <c r="AB63" s="134">
        <f t="shared" si="77"/>
        <v>0.23231575126789025</v>
      </c>
      <c r="AC63" s="134">
        <f t="shared" si="77"/>
        <v>0.24389637537037789</v>
      </c>
      <c r="AD63" s="134">
        <f t="shared" ref="AD63:AE63" si="78">AD10/AD$7</f>
        <v>0.25467236882440736</v>
      </c>
      <c r="AE63" s="134">
        <f t="shared" si="78"/>
        <v>0.27729990948256672</v>
      </c>
      <c r="AF63" s="135">
        <f t="shared" ref="AF63:AG63" si="79">AF10/AF$7</f>
        <v>0.28346289891913728</v>
      </c>
      <c r="AG63" s="135">
        <f t="shared" si="79"/>
        <v>0.28863134657836642</v>
      </c>
      <c r="AH63" s="135">
        <f t="shared" ref="AH63:AI63" si="80">AH10/AH$7</f>
        <v>0.22173482158241573</v>
      </c>
      <c r="AI63" s="135">
        <f t="shared" si="80"/>
        <v>0.23134883667496836</v>
      </c>
      <c r="AJ63" s="135">
        <f t="shared" ref="AJ63:AK63" si="81">AJ10/AJ$7</f>
        <v>0.22109192066457115</v>
      </c>
      <c r="AK63" s="135">
        <f t="shared" si="81"/>
        <v>0.21607903181827715</v>
      </c>
      <c r="AL63" s="135">
        <f t="shared" ref="AL63:AM63" si="82">AL10/AL$7</f>
        <v>0.2150609114760626</v>
      </c>
      <c r="AM63" s="135">
        <f t="shared" si="82"/>
        <v>0.21538431030400457</v>
      </c>
      <c r="AN63" s="135">
        <f t="shared" ref="AN63" si="83">AN10/AN$7</f>
        <v>0.20882673994052772</v>
      </c>
      <c r="AO63" s="135">
        <f t="shared" ref="AO63" si="84">AO10/AO$7</f>
        <v>0.22909865306452695</v>
      </c>
      <c r="AP63" s="135">
        <f t="shared" ref="AP63:AQ63" si="85">AP10/AP$7</f>
        <v>0.21421181374106726</v>
      </c>
      <c r="AQ63" s="135">
        <f t="shared" si="85"/>
        <v>0.21729405806887239</v>
      </c>
      <c r="AR63" s="135">
        <f t="shared" ref="AR63:AS63" si="86">AR10/AR$7</f>
        <v>0.21616101810489061</v>
      </c>
      <c r="AS63" s="135">
        <f t="shared" si="86"/>
        <v>0.20767856746269697</v>
      </c>
      <c r="AT63" s="135">
        <f t="shared" ref="AT63:AU63" si="87">AT10/AT$7</f>
        <v>0.20252873005867236</v>
      </c>
      <c r="AU63" s="135">
        <f t="shared" si="87"/>
        <v>0.20531433655737186</v>
      </c>
      <c r="AV63" s="135">
        <f t="shared" ref="AV63:AW63" si="88">AV10/AV$7</f>
        <v>0.20321668238034496</v>
      </c>
      <c r="AW63" s="135">
        <f t="shared" si="88"/>
        <v>0.20394060709926462</v>
      </c>
      <c r="AX63" s="135">
        <f t="shared" ref="AX63:AY63" si="89">AX10/AX$7</f>
        <v>0.1959230767195137</v>
      </c>
      <c r="AY63" s="135">
        <f t="shared" si="89"/>
        <v>0.19863970332475345</v>
      </c>
      <c r="AZ63" s="135">
        <f t="shared" ref="AZ63:BA63" si="90">AZ10/AZ$7</f>
        <v>0.19803700119720496</v>
      </c>
      <c r="BA63" s="135">
        <f t="shared" si="90"/>
        <v>0.20040616098744593</v>
      </c>
      <c r="BB63" s="135">
        <f t="shared" ref="BB63:BC63" si="91">BB10/BB$7</f>
        <v>0.19965577477688393</v>
      </c>
      <c r="BC63" s="135">
        <f t="shared" si="91"/>
        <v>0.19199338573619631</v>
      </c>
      <c r="BD63" s="2"/>
      <c r="BE63" s="3"/>
      <c r="BG63" s="61"/>
    </row>
    <row r="64" spans="1:59">
      <c r="A64" s="2"/>
      <c r="B64" s="88" t="s">
        <v>217</v>
      </c>
      <c r="C64" s="88"/>
      <c r="D64" s="88"/>
      <c r="E64" s="85"/>
      <c r="F64" s="118"/>
      <c r="G64" s="118"/>
      <c r="H64" s="118"/>
      <c r="I64" s="118"/>
      <c r="J64" s="118"/>
      <c r="K64" s="118"/>
      <c r="L64" s="118"/>
      <c r="M64" s="118"/>
      <c r="N64" s="118"/>
      <c r="O64" s="118"/>
      <c r="P64" s="118"/>
      <c r="Q64" s="114"/>
      <c r="R64" s="114">
        <f t="shared" si="76"/>
        <v>0.11578705053038749</v>
      </c>
      <c r="S64" s="114">
        <f t="shared" si="76"/>
        <v>0.11701924617745338</v>
      </c>
      <c r="T64" s="114">
        <f t="shared" si="76"/>
        <v>0.1126148178265307</v>
      </c>
      <c r="U64" s="114">
        <f t="shared" si="76"/>
        <v>0.10786491668367816</v>
      </c>
      <c r="V64" s="114">
        <f t="shared" si="76"/>
        <v>0.10574195810017635</v>
      </c>
      <c r="W64" s="114">
        <f t="shared" si="76"/>
        <v>0.1159139687372069</v>
      </c>
      <c r="X64" s="114">
        <f>X11/X$7</f>
        <v>0.10437469771741875</v>
      </c>
      <c r="Y64" s="114">
        <f>Y11/Y$7</f>
        <v>0.10355040353766504</v>
      </c>
      <c r="Z64" s="114">
        <f t="shared" ref="Z64:AA64" si="92">Z11/Z$7</f>
        <v>0.11367447186538646</v>
      </c>
      <c r="AA64" s="114">
        <f t="shared" si="92"/>
        <v>0.11727173624279734</v>
      </c>
      <c r="AB64" s="115">
        <f t="shared" ref="AB64:AC64" si="93">AB11/AB$7</f>
        <v>9.5834845646010927E-2</v>
      </c>
      <c r="AC64" s="115">
        <f t="shared" si="93"/>
        <v>0.10293461054511507</v>
      </c>
      <c r="AD64" s="115">
        <f t="shared" ref="AD64:AE64" si="94">AD11/AD$7</f>
        <v>0.10731748991150264</v>
      </c>
      <c r="AE64" s="115">
        <f t="shared" si="94"/>
        <v>0.1152192945575775</v>
      </c>
      <c r="AF64" s="116">
        <f t="shared" ref="AF64:AG64" si="95">AF11/AF$7</f>
        <v>0.12051077414205906</v>
      </c>
      <c r="AG64" s="116">
        <f t="shared" si="95"/>
        <v>0.11816931954610588</v>
      </c>
      <c r="AH64" s="116">
        <f t="shared" ref="AH64:AI64" si="96">AH11/AH$7</f>
        <v>0.12184534337498336</v>
      </c>
      <c r="AI64" s="116">
        <f t="shared" si="96"/>
        <v>0.12286582952709529</v>
      </c>
      <c r="AJ64" s="116">
        <f t="shared" ref="AJ64:AK64" si="97">AJ11/AJ$7</f>
        <v>0.12146371188156964</v>
      </c>
      <c r="AK64" s="116">
        <f t="shared" si="97"/>
        <v>0.11858967636386518</v>
      </c>
      <c r="AL64" s="116">
        <f t="shared" ref="AL64:AM64" si="98">AL11/AL$7</f>
        <v>0.11820525016564454</v>
      </c>
      <c r="AM64" s="116">
        <f t="shared" si="98"/>
        <v>0.11615641594200489</v>
      </c>
      <c r="AN64" s="116">
        <f t="shared" ref="AN64" si="99">AN11/AN$7</f>
        <v>0.11530093725298303</v>
      </c>
      <c r="AO64" s="116">
        <f t="shared" ref="AO64" si="100">AO11/AO$7</f>
        <v>6.0581706717024321E-2</v>
      </c>
      <c r="AP64" s="116">
        <f t="shared" ref="AP64:AQ64" si="101">AP11/AP$7</f>
        <v>5.9733810238181452E-2</v>
      </c>
      <c r="AQ64" s="116">
        <f t="shared" si="101"/>
        <v>5.8758158901643036E-2</v>
      </c>
      <c r="AR64" s="116">
        <f t="shared" ref="AR64:AS64" si="102">AR11/AR$7</f>
        <v>5.731829415541001E-2</v>
      </c>
      <c r="AS64" s="116">
        <f t="shared" si="102"/>
        <v>5.5538105708003771E-2</v>
      </c>
      <c r="AT64" s="116">
        <f t="shared" ref="AT64:AU64" si="103">AT11/AT$7</f>
        <v>5.6666100955244145E-2</v>
      </c>
      <c r="AU64" s="116">
        <f t="shared" si="103"/>
        <v>5.5602426811254095E-2</v>
      </c>
      <c r="AV64" s="116">
        <f t="shared" ref="AV64:AW64" si="104">AV11/AV$7</f>
        <v>5.3663135710720428E-2</v>
      </c>
      <c r="AW64" s="116">
        <f t="shared" si="104"/>
        <v>5.1928836526248211E-2</v>
      </c>
      <c r="AX64" s="116">
        <f t="shared" ref="AX64:AY64" si="105">AX11/AX$7</f>
        <v>5.2852337892945703E-2</v>
      </c>
      <c r="AY64" s="116">
        <f t="shared" si="105"/>
        <v>4.8546858528075519E-2</v>
      </c>
      <c r="AZ64" s="116">
        <f t="shared" ref="AZ64:BA64" si="106">AZ11/AZ$7</f>
        <v>4.8430722522320439E-2</v>
      </c>
      <c r="BA64" s="116">
        <f t="shared" si="106"/>
        <v>4.8794704082709146E-2</v>
      </c>
      <c r="BB64" s="116">
        <f t="shared" ref="BB64:BC64" si="107">BB11/BB$7</f>
        <v>4.909711627763385E-2</v>
      </c>
      <c r="BC64" s="116">
        <f t="shared" si="107"/>
        <v>4.3642158742331287E-2</v>
      </c>
      <c r="BD64" s="2"/>
      <c r="BE64" s="2"/>
      <c r="BG64" s="61"/>
    </row>
    <row r="65" spans="1:59">
      <c r="A65" s="2"/>
      <c r="B65" s="88" t="s">
        <v>218</v>
      </c>
      <c r="C65" s="88"/>
      <c r="D65" s="88"/>
      <c r="E65" s="85"/>
      <c r="F65" s="113"/>
      <c r="G65" s="113"/>
      <c r="H65" s="113"/>
      <c r="I65" s="113"/>
      <c r="J65" s="113"/>
      <c r="K65" s="113"/>
      <c r="L65" s="113"/>
      <c r="M65" s="113"/>
      <c r="N65" s="113"/>
      <c r="O65" s="113"/>
      <c r="P65" s="113"/>
      <c r="Q65" s="114"/>
      <c r="R65" s="114">
        <f t="shared" si="76"/>
        <v>9.7553000578527754E-2</v>
      </c>
      <c r="S65" s="114">
        <f t="shared" si="76"/>
        <v>9.7567125365274884E-2</v>
      </c>
      <c r="T65" s="114">
        <f t="shared" si="76"/>
        <v>9.7521511488005835E-2</v>
      </c>
      <c r="U65" s="114">
        <f t="shared" si="76"/>
        <v>0.10026377831414036</v>
      </c>
      <c r="V65" s="114">
        <f t="shared" si="76"/>
        <v>9.9710437072056748E-2</v>
      </c>
      <c r="W65" s="114">
        <f t="shared" si="76"/>
        <v>9.7858458699308912E-2</v>
      </c>
      <c r="X65" s="114">
        <f>X12/X$7</f>
        <v>9.5309430360513425E-2</v>
      </c>
      <c r="Y65" s="114">
        <f>Y12/Y$7</f>
        <v>9.4856373347406334E-2</v>
      </c>
      <c r="Z65" s="114">
        <f t="shared" ref="Z65:AA65" si="108">Z12/Z$7</f>
        <v>9.4607551336638382E-2</v>
      </c>
      <c r="AA65" s="114">
        <f t="shared" si="108"/>
        <v>9.0325299328514769E-2</v>
      </c>
      <c r="AB65" s="115">
        <f t="shared" ref="AB65:AC65" si="109">AB12/AB$7</f>
        <v>8.603996429307148E-2</v>
      </c>
      <c r="AC65" s="115">
        <f t="shared" si="109"/>
        <v>8.8667451394244423E-2</v>
      </c>
      <c r="AD65" s="115">
        <f t="shared" ref="AD65:AE65" si="110">AD12/AD$7</f>
        <v>8.5291146746805102E-2</v>
      </c>
      <c r="AE65" s="115">
        <f t="shared" si="110"/>
        <v>8.753480964134322E-2</v>
      </c>
      <c r="AF65" s="116">
        <f t="shared" ref="AF65:AG65" si="111">AF12/AF$7</f>
        <v>8.6060122372971531E-2</v>
      </c>
      <c r="AG65" s="116">
        <f t="shared" si="111"/>
        <v>8.3691568878045006E-2</v>
      </c>
      <c r="AH65" s="116">
        <f t="shared" ref="AH65:AI65" si="112">AH12/AH$7</f>
        <v>8.7441281071109336E-2</v>
      </c>
      <c r="AI65" s="116">
        <f t="shared" si="112"/>
        <v>7.9127847694607012E-2</v>
      </c>
      <c r="AJ65" s="116">
        <f t="shared" ref="AJ65:AK65" si="113">AJ12/AJ$7</f>
        <v>8.0099110159239373E-2</v>
      </c>
      <c r="AK65" s="116">
        <f t="shared" si="113"/>
        <v>8.6284791408855421E-2</v>
      </c>
      <c r="AL65" s="116">
        <f t="shared" ref="AL65:AM65" si="114">AL12/AL$7</f>
        <v>8.7632341809955508E-2</v>
      </c>
      <c r="AM65" s="116">
        <f t="shared" si="114"/>
        <v>8.8834430018773503E-2</v>
      </c>
      <c r="AN65" s="116">
        <f t="shared" ref="AN65" si="115">AN12/AN$7</f>
        <v>8.639289343922911E-2</v>
      </c>
      <c r="AO65" s="116">
        <f t="shared" ref="AO65" si="116">AO12/AO$7</f>
        <v>9.6828160908326869E-2</v>
      </c>
      <c r="AP65" s="116">
        <f t="shared" ref="AP65:AQ65" si="117">AP12/AP$7</f>
        <v>9.7751945431837836E-2</v>
      </c>
      <c r="AQ65" s="116">
        <f t="shared" si="117"/>
        <v>9.4228280441143369E-2</v>
      </c>
      <c r="AR65" s="116">
        <f t="shared" ref="AR65:AS65" si="118">AR12/AR$7</f>
        <v>9.0800533533796565E-2</v>
      </c>
      <c r="AS65" s="116">
        <f t="shared" si="118"/>
        <v>9.546335690649102E-2</v>
      </c>
      <c r="AT65" s="116">
        <f t="shared" ref="AT65:AU65" si="119">AT12/AT$7</f>
        <v>9.4875866750715215E-2</v>
      </c>
      <c r="AU65" s="116">
        <f t="shared" si="119"/>
        <v>8.4975826909731725E-2</v>
      </c>
      <c r="AV65" s="116">
        <f t="shared" ref="AV65:AW65" si="120">AV12/AV$7</f>
        <v>7.8811491320503579E-2</v>
      </c>
      <c r="AW65" s="116">
        <f t="shared" si="120"/>
        <v>7.7916674702911512E-2</v>
      </c>
      <c r="AX65" s="116">
        <f t="shared" ref="AX65:AY65" si="121">AX12/AX$7</f>
        <v>7.7809798270893377E-2</v>
      </c>
      <c r="AY65" s="116">
        <f t="shared" si="121"/>
        <v>7.9314072274456707E-2</v>
      </c>
      <c r="AZ65" s="116">
        <f t="shared" ref="AZ65:BA65" si="122">AZ12/AZ$7</f>
        <v>7.8783389368089665E-2</v>
      </c>
      <c r="BA65" s="116">
        <f t="shared" si="122"/>
        <v>8.2041882055069099E-2</v>
      </c>
      <c r="BB65" s="116">
        <f t="shared" ref="BB65:BC65" si="123">BB12/BB$7</f>
        <v>8.1204222290255437E-2</v>
      </c>
      <c r="BC65" s="116">
        <f t="shared" si="123"/>
        <v>8.3056940184049077E-2</v>
      </c>
      <c r="BD65" s="2"/>
      <c r="BE65" s="2"/>
      <c r="BG65" s="61"/>
    </row>
    <row r="66" spans="1:59">
      <c r="A66" s="2"/>
      <c r="B66" s="88" t="s">
        <v>219</v>
      </c>
      <c r="C66" s="88"/>
      <c r="D66" s="88"/>
      <c r="E66" s="85"/>
      <c r="F66" s="85"/>
      <c r="G66" s="85"/>
      <c r="H66" s="85"/>
      <c r="I66" s="85"/>
      <c r="J66" s="85"/>
      <c r="K66" s="85"/>
      <c r="L66" s="85"/>
      <c r="M66" s="85"/>
      <c r="N66" s="85"/>
      <c r="O66" s="85"/>
      <c r="P66" s="85"/>
      <c r="Q66" s="114"/>
      <c r="R66" s="114">
        <f t="shared" ref="R66:Y68" si="124">R14/R$7</f>
        <v>5.0963154640045943E-2</v>
      </c>
      <c r="S66" s="114">
        <f t="shared" si="124"/>
        <v>5.2236909487294508E-2</v>
      </c>
      <c r="T66" s="114">
        <f t="shared" si="124"/>
        <v>5.0511546088933511E-2</v>
      </c>
      <c r="U66" s="114">
        <f t="shared" si="124"/>
        <v>4.9653565810487889E-2</v>
      </c>
      <c r="V66" s="114">
        <f t="shared" si="124"/>
        <v>4.3578852077785467E-2</v>
      </c>
      <c r="W66" s="114">
        <f t="shared" si="124"/>
        <v>4.400877018827392E-2</v>
      </c>
      <c r="X66" s="114">
        <f t="shared" si="124"/>
        <v>4.5078090558511197E-2</v>
      </c>
      <c r="Y66" s="114">
        <f t="shared" si="124"/>
        <v>4.7760297717077779E-2</v>
      </c>
      <c r="Z66" s="114">
        <f t="shared" ref="Z66:AA66" si="125">Z14/Z$7</f>
        <v>4.6108685082270402E-2</v>
      </c>
      <c r="AA66" s="114">
        <f t="shared" si="125"/>
        <v>4.6211559073295411E-2</v>
      </c>
      <c r="AB66" s="115">
        <f t="shared" ref="AB66:AC66" si="126">AB14/AB$7</f>
        <v>4.7017392413258648E-2</v>
      </c>
      <c r="AC66" s="115">
        <f t="shared" si="126"/>
        <v>5.0477939684214802E-2</v>
      </c>
      <c r="AD66" s="115">
        <f t="shared" ref="AD66:AE66" si="127">AD14/AD$7</f>
        <v>4.8525295368085676E-2</v>
      </c>
      <c r="AE66" s="115">
        <f t="shared" si="127"/>
        <v>4.6297441274960306E-2</v>
      </c>
      <c r="AF66" s="116">
        <f t="shared" ref="AF66:AG66" si="128">AF14/AF$7</f>
        <v>4.6949050673445458E-2</v>
      </c>
      <c r="AG66" s="116">
        <f t="shared" si="128"/>
        <v>4.5645985825490877E-2</v>
      </c>
      <c r="AH66" s="116">
        <f t="shared" ref="AH66:AI66" si="129">AH14/AH$7</f>
        <v>4.1084231946900973E-2</v>
      </c>
      <c r="AI66" s="116">
        <f t="shared" si="129"/>
        <v>4.4063898239585807E-2</v>
      </c>
      <c r="AJ66" s="116">
        <f t="shared" ref="AJ66:AK66" si="130">AJ14/AJ$7</f>
        <v>4.3241959621123191E-2</v>
      </c>
      <c r="AK66" s="116">
        <f t="shared" si="130"/>
        <v>3.993539861987961E-2</v>
      </c>
      <c r="AL66" s="116">
        <f t="shared" ref="AL66:AM66" si="131">AL14/AL$7</f>
        <v>4.5260258409109112E-2</v>
      </c>
      <c r="AM66" s="116">
        <f t="shared" si="131"/>
        <v>4.0422520728483902E-2</v>
      </c>
      <c r="AN66" s="116">
        <f t="shared" ref="AN66" si="132">AN14/AN$7</f>
        <v>3.8619339782436861E-2</v>
      </c>
      <c r="AO66" s="116">
        <f t="shared" ref="AO66" si="133">AO14/AO$7</f>
        <v>3.8670245280615752E-2</v>
      </c>
      <c r="AP66" s="116">
        <f t="shared" ref="AP66:AQ66" si="134">AP14/AP$7</f>
        <v>3.8225056718668014E-2</v>
      </c>
      <c r="AQ66" s="116">
        <f t="shared" si="134"/>
        <v>3.8719615124915598E-2</v>
      </c>
      <c r="AR66" s="116">
        <f t="shared" ref="AR66:AS66" si="135">AR14/AR$7</f>
        <v>3.7706602979673161E-2</v>
      </c>
      <c r="AS66" s="116">
        <f t="shared" si="135"/>
        <v>3.6936568217799476E-2</v>
      </c>
      <c r="AT66" s="116">
        <f t="shared" ref="AT66:AU66" si="136">AT14/AT$7</f>
        <v>3.4048756243029624E-2</v>
      </c>
      <c r="AU66" s="116">
        <f t="shared" si="136"/>
        <v>3.480118749046178E-2</v>
      </c>
      <c r="AV66" s="116">
        <f t="shared" ref="AV66:AW66" si="137">AV14/AV$7</f>
        <v>3.425489434862182E-2</v>
      </c>
      <c r="AW66" s="116">
        <f t="shared" si="137"/>
        <v>3.4810257371073378E-2</v>
      </c>
      <c r="AX66" s="116">
        <f t="shared" ref="AX66:AY66" si="138">AX14/AX$7</f>
        <v>3.3269556979276652E-2</v>
      </c>
      <c r="AY66" s="116">
        <f t="shared" si="138"/>
        <v>3.6897110841168507E-2</v>
      </c>
      <c r="AZ66" s="116">
        <f t="shared" ref="AZ66:BA66" si="139">AZ14/AZ$7</f>
        <v>3.450767228405318E-2</v>
      </c>
      <c r="BA66" s="116">
        <f t="shared" si="139"/>
        <v>3.5971621479058975E-2</v>
      </c>
      <c r="BB66" s="116">
        <f t="shared" ref="BB66:BC66" si="140">BB14/BB$7</f>
        <v>3.5316530271495422E-2</v>
      </c>
      <c r="BC66" s="116">
        <f t="shared" si="140"/>
        <v>3.5865605828220862E-2</v>
      </c>
      <c r="BD66" s="2"/>
      <c r="BE66" s="2"/>
      <c r="BG66" s="61"/>
    </row>
    <row r="67" spans="1:59">
      <c r="A67" s="2"/>
      <c r="B67" s="88" t="s">
        <v>220</v>
      </c>
      <c r="C67" s="88"/>
      <c r="D67" s="88"/>
      <c r="E67" s="113"/>
      <c r="F67" s="113"/>
      <c r="G67" s="113"/>
      <c r="H67" s="113"/>
      <c r="I67" s="113"/>
      <c r="J67" s="113"/>
      <c r="K67" s="113"/>
      <c r="L67" s="113"/>
      <c r="M67" s="113"/>
      <c r="N67" s="113"/>
      <c r="O67" s="113"/>
      <c r="P67" s="113"/>
      <c r="Q67" s="114"/>
      <c r="R67" s="114">
        <f t="shared" si="124"/>
        <v>0.10001332347302457</v>
      </c>
      <c r="S67" s="114">
        <f t="shared" si="124"/>
        <v>9.8590667053777684E-2</v>
      </c>
      <c r="T67" s="114">
        <f t="shared" si="124"/>
        <v>0.10082809894039844</v>
      </c>
      <c r="U67" s="114">
        <f t="shared" si="124"/>
        <v>9.3495202757063772E-2</v>
      </c>
      <c r="V67" s="114">
        <f t="shared" si="124"/>
        <v>7.7833356995100272E-2</v>
      </c>
      <c r="W67" s="114">
        <f t="shared" si="124"/>
        <v>7.3007422098372632E-2</v>
      </c>
      <c r="X67" s="114">
        <f t="shared" si="124"/>
        <v>7.0835467884214548E-2</v>
      </c>
      <c r="Y67" s="114">
        <f t="shared" si="124"/>
        <v>7.7039750621002143E-2</v>
      </c>
      <c r="Z67" s="114">
        <f t="shared" ref="Z67:AE67" si="141">Z15/Z$7</f>
        <v>6.9819645835132033E-2</v>
      </c>
      <c r="AA67" s="114">
        <f t="shared" si="141"/>
        <v>6.4601826659704473E-2</v>
      </c>
      <c r="AB67" s="115">
        <f t="shared" si="141"/>
        <v>7.7996095780892866E-2</v>
      </c>
      <c r="AC67" s="115">
        <f t="shared" si="141"/>
        <v>7.1630691052665937E-2</v>
      </c>
      <c r="AD67" s="115">
        <f t="shared" si="141"/>
        <v>5.0977692234244101E-2</v>
      </c>
      <c r="AE67" s="115">
        <f t="shared" si="141"/>
        <v>6.3866726681868324E-2</v>
      </c>
      <c r="AF67" s="116">
        <f t="shared" ref="AF67:AG67" si="142">AF15/AF$7</f>
        <v>6.6221315755766411E-2</v>
      </c>
      <c r="AG67" s="116">
        <f t="shared" si="142"/>
        <v>5.0385345261608767E-2</v>
      </c>
      <c r="AH67" s="116">
        <f t="shared" ref="AH67:AI67" si="143">AH15/AH$7</f>
        <v>3.9872207663271909E-2</v>
      </c>
      <c r="AI67" s="116">
        <f t="shared" si="143"/>
        <v>3.5296364148403703E-2</v>
      </c>
      <c r="AJ67" s="116">
        <f t="shared" ref="AJ67:AK67" si="144">AJ15/AJ$7</f>
        <v>4.0338551701271583E-2</v>
      </c>
      <c r="AK67" s="116">
        <f t="shared" si="144"/>
        <v>3.9159343079472282E-2</v>
      </c>
      <c r="AL67" s="116">
        <f t="shared" ref="AL67:AM67" si="145">AL15/AL$7</f>
        <v>3.071532459500733E-2</v>
      </c>
      <c r="AM67" s="116">
        <f t="shared" si="145"/>
        <v>3.4662987726007559E-2</v>
      </c>
      <c r="AN67" s="116">
        <f t="shared" ref="AN67" si="146">AN15/AN$7</f>
        <v>3.961305378853465E-2</v>
      </c>
      <c r="AO67" s="116">
        <f t="shared" ref="AO67" si="147">AO15/AO$7</f>
        <v>4.445781327486148E-2</v>
      </c>
      <c r="AP67" s="116">
        <f t="shared" ref="AP67:AQ67" si="148">AP15/AP$7</f>
        <v>3.9215324016938002E-2</v>
      </c>
      <c r="AQ67" s="116">
        <f t="shared" si="148"/>
        <v>4.4557449921224401E-2</v>
      </c>
      <c r="AR67" s="116">
        <f t="shared" ref="AR67:AS67" si="149">AR15/AR$7</f>
        <v>4.7981452715400968E-2</v>
      </c>
      <c r="AS67" s="116">
        <f t="shared" si="149"/>
        <v>4.8627966077496358E-2</v>
      </c>
      <c r="AT67" s="116">
        <f t="shared" ref="AT67:AU67" si="150">AT15/AT$7</f>
        <v>4.748642292585948E-2</v>
      </c>
      <c r="AU67" s="116">
        <f t="shared" si="150"/>
        <v>5.132066561662256E-2</v>
      </c>
      <c r="AV67" s="116">
        <f t="shared" ref="AV67:AW67" si="151">AV15/AV$7</f>
        <v>5.3014253230547391E-2</v>
      </c>
      <c r="AW67" s="116">
        <f t="shared" si="151"/>
        <v>5.4675854620197882E-2</v>
      </c>
      <c r="AX67" s="116">
        <f t="shared" ref="AX67:AY67" si="152">AX15/AX$7</f>
        <v>7.1428624838905164E-2</v>
      </c>
      <c r="AY67" s="116">
        <f t="shared" si="152"/>
        <v>7.1087779858833106E-2</v>
      </c>
      <c r="AZ67" s="116">
        <f t="shared" ref="AZ67:BA67" si="153">AZ15/AZ$7</f>
        <v>7.1083544561324763E-2</v>
      </c>
      <c r="BA67" s="116">
        <f t="shared" si="153"/>
        <v>7.1394498628547368E-2</v>
      </c>
      <c r="BB67" s="116">
        <f t="shared" ref="BB67:BC67" si="154">BB15/BB$7</f>
        <v>6.9866400479548438E-2</v>
      </c>
      <c r="BC67" s="116">
        <f t="shared" si="154"/>
        <v>6.907592024539877E-2</v>
      </c>
      <c r="BD67" s="2"/>
      <c r="BE67" s="2"/>
      <c r="BG67" s="61"/>
    </row>
    <row r="68" spans="1:59">
      <c r="A68" s="2"/>
      <c r="B68" s="88" t="s">
        <v>221</v>
      </c>
      <c r="C68" s="88"/>
      <c r="D68" s="88"/>
      <c r="E68" s="113"/>
      <c r="F68" s="113"/>
      <c r="G68" s="113"/>
      <c r="H68" s="113"/>
      <c r="I68" s="113"/>
      <c r="J68" s="113"/>
      <c r="K68" s="113"/>
      <c r="L68" s="113"/>
      <c r="M68" s="113"/>
      <c r="N68" s="113"/>
      <c r="O68" s="113"/>
      <c r="P68" s="113"/>
      <c r="Q68" s="114"/>
      <c r="R68" s="114">
        <f t="shared" si="124"/>
        <v>6.9508416088138916E-2</v>
      </c>
      <c r="S68" s="114">
        <f t="shared" si="124"/>
        <v>6.7050128580951607E-2</v>
      </c>
      <c r="T68" s="114">
        <f t="shared" si="124"/>
        <v>6.5729316196055335E-2</v>
      </c>
      <c r="U68" s="114">
        <f t="shared" si="124"/>
        <v>6.7933923332172547E-2</v>
      </c>
      <c r="V68" s="114">
        <f t="shared" si="124"/>
        <v>8.7742062218207545E-2</v>
      </c>
      <c r="W68" s="114">
        <f t="shared" si="124"/>
        <v>7.9314762049328177E-2</v>
      </c>
      <c r="X68" s="114">
        <f t="shared" si="124"/>
        <v>9.4895662248169171E-2</v>
      </c>
      <c r="Y68" s="114">
        <f t="shared" si="124"/>
        <v>8.2233032353429922E-2</v>
      </c>
      <c r="Z68" s="114">
        <f t="shared" ref="Z68:AA68" si="155">Z16/Z$7</f>
        <v>8.650547333312128E-2</v>
      </c>
      <c r="AA68" s="114">
        <f t="shared" si="155"/>
        <v>8.5016626817269902E-2</v>
      </c>
      <c r="AB68" s="115">
        <f t="shared" ref="AB68:AC68" si="156">AB16/AB$7</f>
        <v>9.1052667719563274E-2</v>
      </c>
      <c r="AC68" s="115">
        <f t="shared" si="156"/>
        <v>8.6971024425751955E-2</v>
      </c>
      <c r="AD68" s="115">
        <f t="shared" ref="AD68:AE68" si="157">AD16/AD$7</f>
        <v>0.11020584765634783</v>
      </c>
      <c r="AE68" s="115">
        <f t="shared" si="157"/>
        <v>0.11112023603886317</v>
      </c>
      <c r="AF68" s="116">
        <f t="shared" ref="AF68:AG68" si="158">AF16/AF$7</f>
        <v>0.1013379037035559</v>
      </c>
      <c r="AG68" s="116">
        <f t="shared" si="158"/>
        <v>8.9796096200766812E-2</v>
      </c>
      <c r="AH68" s="116">
        <f t="shared" ref="AH68:AI68" si="159">AH16/AH$7</f>
        <v>8.2523336560829955E-2</v>
      </c>
      <c r="AI68" s="116">
        <f t="shared" si="159"/>
        <v>5.9704914173080235E-2</v>
      </c>
      <c r="AJ68" s="116">
        <f t="shared" ref="AJ68:AK68" si="160">AJ16/AJ$7</f>
        <v>6.2853404783454164E-2</v>
      </c>
      <c r="AK68" s="116">
        <f t="shared" si="160"/>
        <v>6.2118002391090041E-2</v>
      </c>
      <c r="AL68" s="116">
        <f t="shared" ref="AL68:AM68" si="161">AL16/AL$7</f>
        <v>6.7468523944324912E-2</v>
      </c>
      <c r="AM68" s="116">
        <f t="shared" si="161"/>
        <v>6.0532319317813242E-2</v>
      </c>
      <c r="AN68" s="116">
        <f t="shared" ref="AN68" si="162">AN16/AN$7</f>
        <v>5.5711973500959834E-2</v>
      </c>
      <c r="AO68" s="116">
        <f t="shared" ref="AO68" si="163">AO16/AO$7</f>
        <v>4.9709820310531096E-2</v>
      </c>
      <c r="AP68" s="116">
        <f t="shared" ref="AP68:AQ68" si="164">AP16/AP$7</f>
        <v>6.3484262879017414E-2</v>
      </c>
      <c r="AQ68" s="116">
        <f t="shared" si="164"/>
        <v>5.6932956335809137E-2</v>
      </c>
      <c r="AR68" s="116">
        <f t="shared" ref="AR68:AS68" si="165">AR16/AR$7</f>
        <v>5.4421112504448886E-2</v>
      </c>
      <c r="AS68" s="116">
        <f t="shared" si="165"/>
        <v>4.6254786810453412E-2</v>
      </c>
      <c r="AT68" s="116">
        <f t="shared" ref="AT68:AU68" si="166">AT16/AT$7</f>
        <v>5.762983077146875E-2</v>
      </c>
      <c r="AU68" s="116">
        <f t="shared" si="166"/>
        <v>5.5564993794757649E-2</v>
      </c>
      <c r="AV68" s="116">
        <f t="shared" ref="AV68:AW68" si="167">AV16/AV$7</f>
        <v>5.8188675059619541E-2</v>
      </c>
      <c r="AW68" s="116">
        <f t="shared" si="167"/>
        <v>5.3719771091009783E-2</v>
      </c>
      <c r="AX68" s="116">
        <f t="shared" ref="AX68:AY68" si="168">AX16/AX$7</f>
        <v>4.0860099448771184E-2</v>
      </c>
      <c r="AY68" s="116">
        <f t="shared" si="168"/>
        <v>3.4557290804886794E-2</v>
      </c>
      <c r="AZ68" s="116">
        <f t="shared" ref="AZ68:BA68" si="169">AZ16/AZ$7</f>
        <v>4.0859031333383755E-2</v>
      </c>
      <c r="BA68" s="116">
        <f t="shared" si="169"/>
        <v>4.2304203766220107E-2</v>
      </c>
      <c r="BB68" s="116">
        <f t="shared" ref="BB68:BC68" si="170">BB16/BB$7</f>
        <v>4.849253535512054E-2</v>
      </c>
      <c r="BC68" s="116">
        <f t="shared" si="170"/>
        <v>4.67240222392638E-2</v>
      </c>
      <c r="BD68" s="5"/>
      <c r="BE68" s="2"/>
      <c r="BG68" s="61"/>
    </row>
    <row r="69" spans="1:59">
      <c r="A69" s="2"/>
      <c r="B69" s="2"/>
      <c r="C69" s="2"/>
      <c r="D69" s="2"/>
      <c r="E69" s="85"/>
      <c r="F69" s="85"/>
      <c r="G69" s="85"/>
      <c r="H69" s="85"/>
      <c r="I69" s="85"/>
      <c r="J69" s="85"/>
      <c r="K69" s="85"/>
      <c r="L69" s="85"/>
      <c r="M69" s="85"/>
      <c r="N69" s="85"/>
      <c r="O69" s="85"/>
      <c r="P69" s="85"/>
      <c r="Q69" s="85"/>
      <c r="R69" s="85"/>
      <c r="S69" s="85"/>
      <c r="T69" s="85"/>
      <c r="U69" s="85"/>
      <c r="V69" s="85"/>
      <c r="W69" s="85"/>
      <c r="X69" s="85"/>
      <c r="Y69" s="85"/>
      <c r="Z69" s="85"/>
      <c r="AA69" s="85"/>
      <c r="AB69" s="85"/>
      <c r="AC69" s="85"/>
      <c r="AD69" s="85"/>
      <c r="AE69" s="85"/>
      <c r="AF69" s="111"/>
      <c r="AG69" s="111"/>
      <c r="AH69" s="111"/>
      <c r="AI69" s="111"/>
      <c r="AJ69" s="111"/>
      <c r="AK69" s="111"/>
      <c r="AL69" s="111"/>
      <c r="AM69" s="111"/>
      <c r="AN69" s="111"/>
      <c r="AO69" s="111"/>
      <c r="AP69" s="111"/>
      <c r="AQ69" s="111"/>
      <c r="AR69" s="111"/>
      <c r="AS69" s="111"/>
      <c r="AT69" s="111"/>
      <c r="AU69" s="111"/>
      <c r="AV69" s="111"/>
      <c r="AW69" s="111"/>
      <c r="AX69" s="111"/>
      <c r="AY69" s="111"/>
      <c r="AZ69" s="111"/>
      <c r="BA69" s="111"/>
      <c r="BB69" s="111"/>
      <c r="BC69" s="111"/>
      <c r="BD69" s="2"/>
      <c r="BE69" s="2"/>
      <c r="BG69" s="61"/>
    </row>
    <row r="70" spans="1:59">
      <c r="A70" s="2"/>
      <c r="B70" s="2" t="s">
        <v>395</v>
      </c>
      <c r="C70" s="2"/>
      <c r="D70" s="2"/>
      <c r="E70" s="85"/>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111"/>
      <c r="AG70" s="111"/>
      <c r="AH70" s="111"/>
      <c r="AI70" s="111"/>
      <c r="AJ70" s="111"/>
      <c r="AK70" s="111"/>
      <c r="AL70" s="111"/>
      <c r="AM70" s="111"/>
      <c r="AN70" s="111"/>
      <c r="AO70" s="111"/>
      <c r="AP70" s="111"/>
      <c r="AQ70" s="111"/>
      <c r="AR70" s="111"/>
      <c r="AS70" s="111"/>
      <c r="AT70" s="111"/>
      <c r="AU70" s="111"/>
      <c r="AV70" s="111"/>
      <c r="AW70" s="111"/>
      <c r="AX70" s="111"/>
      <c r="AY70" s="111"/>
      <c r="AZ70" s="111"/>
      <c r="BA70" s="111"/>
      <c r="BB70" s="111"/>
      <c r="BC70" s="111"/>
      <c r="BD70" s="2"/>
      <c r="BE70" s="2"/>
      <c r="BG70" s="61"/>
    </row>
    <row r="71" spans="1:59">
      <c r="A71" s="2"/>
      <c r="B71" s="88" t="s">
        <v>216</v>
      </c>
      <c r="C71" s="88"/>
      <c r="D71" s="88"/>
      <c r="E71" s="85"/>
      <c r="F71" s="85"/>
      <c r="G71" s="85"/>
      <c r="H71" s="85"/>
      <c r="I71" s="85"/>
      <c r="J71" s="85"/>
      <c r="K71" s="85"/>
      <c r="L71" s="85"/>
      <c r="M71" s="85"/>
      <c r="N71" s="85"/>
      <c r="O71" s="85"/>
      <c r="P71" s="85"/>
      <c r="Q71" s="85"/>
      <c r="R71" s="85"/>
      <c r="S71" s="85"/>
      <c r="T71" s="85"/>
      <c r="U71" s="85"/>
      <c r="V71" s="120">
        <f t="shared" ref="V71:AC76" si="171">V63-R63</f>
        <v>-7.4639461895517623E-3</v>
      </c>
      <c r="W71" s="120">
        <f t="shared" si="171"/>
        <v>-1.5185850506093501E-2</v>
      </c>
      <c r="X71" s="120">
        <f t="shared" si="171"/>
        <v>3.1145295402845719E-3</v>
      </c>
      <c r="Y71" s="120">
        <f t="shared" si="171"/>
        <v>1.9757787562631773E-2</v>
      </c>
      <c r="Z71" s="120">
        <f t="shared" si="171"/>
        <v>2.3531808713525948E-2</v>
      </c>
      <c r="AA71" s="120">
        <f t="shared" si="171"/>
        <v>2.4735146012728138E-2</v>
      </c>
      <c r="AB71" s="120">
        <f t="shared" si="171"/>
        <v>7.0333947820295506E-3</v>
      </c>
      <c r="AC71" s="120">
        <f t="shared" si="171"/>
        <v>9.0171657264191407E-3</v>
      </c>
      <c r="AD71" s="120">
        <f t="shared" ref="AD71:AG76" si="172">AD63-Z63</f>
        <v>2.0143793436002921E-2</v>
      </c>
      <c r="AE71" s="120">
        <f t="shared" si="172"/>
        <v>4.6118443574412721E-2</v>
      </c>
      <c r="AF71" s="121">
        <f t="shared" si="172"/>
        <v>5.1147147651247032E-2</v>
      </c>
      <c r="AG71" s="121">
        <f t="shared" si="172"/>
        <v>4.4734971207988528E-2</v>
      </c>
      <c r="AH71" s="121">
        <f t="shared" ref="AH71:AN76" si="173">AH63-AD63</f>
        <v>-3.2937547241991633E-2</v>
      </c>
      <c r="AI71" s="121">
        <f t="shared" si="173"/>
        <v>-4.5951072807598359E-2</v>
      </c>
      <c r="AJ71" s="121">
        <f t="shared" si="173"/>
        <v>-6.237097825456614E-2</v>
      </c>
      <c r="AK71" s="121">
        <f t="shared" si="173"/>
        <v>-7.2552314760089276E-2</v>
      </c>
      <c r="AL71" s="121">
        <f t="shared" si="173"/>
        <v>-6.6739101063531259E-3</v>
      </c>
      <c r="AM71" s="121">
        <f t="shared" si="173"/>
        <v>-1.5964526370963794E-2</v>
      </c>
      <c r="AN71" s="121">
        <f t="shared" si="173"/>
        <v>-1.2265180724043423E-2</v>
      </c>
      <c r="AO71" s="121">
        <f t="shared" ref="AO71:AO76" si="174">AO63-AK63</f>
        <v>1.3019621246249807E-2</v>
      </c>
      <c r="AP71" s="121">
        <f t="shared" ref="AP71:AS76" si="175">AP63-AL63</f>
        <v>-8.4909773499533547E-4</v>
      </c>
      <c r="AQ71" s="121">
        <f t="shared" si="175"/>
        <v>1.9097477648678252E-3</v>
      </c>
      <c r="AR71" s="121">
        <f t="shared" si="175"/>
        <v>7.334278164362884E-3</v>
      </c>
      <c r="AS71" s="121">
        <f t="shared" si="175"/>
        <v>-2.142008560182998E-2</v>
      </c>
      <c r="AT71" s="121">
        <f t="shared" ref="AT71:BC76" si="176">AT63-AP63</f>
        <v>-1.1683083682394901E-2</v>
      </c>
      <c r="AU71" s="121">
        <f t="shared" si="176"/>
        <v>-1.1979721511500535E-2</v>
      </c>
      <c r="AV71" s="121">
        <f t="shared" si="176"/>
        <v>-1.2944335724545647E-2</v>
      </c>
      <c r="AW71" s="121">
        <f t="shared" si="176"/>
        <v>-3.7379603634323522E-3</v>
      </c>
      <c r="AX71" s="121">
        <f t="shared" si="176"/>
        <v>-6.6056533391586625E-3</v>
      </c>
      <c r="AY71" s="121">
        <f t="shared" si="176"/>
        <v>-6.6746332326184099E-3</v>
      </c>
      <c r="AZ71" s="121">
        <f t="shared" si="176"/>
        <v>-5.1796811831399947E-3</v>
      </c>
      <c r="BA71" s="121">
        <f t="shared" si="176"/>
        <v>-3.5344461118186898E-3</v>
      </c>
      <c r="BB71" s="121">
        <f t="shared" si="176"/>
        <v>3.7326980573702262E-3</v>
      </c>
      <c r="BC71" s="121">
        <f t="shared" si="176"/>
        <v>-6.6463175885571324E-3</v>
      </c>
      <c r="BD71" s="2"/>
      <c r="BE71" s="2"/>
      <c r="BG71" s="61"/>
    </row>
    <row r="72" spans="1:59">
      <c r="A72" s="2"/>
      <c r="B72" s="88" t="s">
        <v>217</v>
      </c>
      <c r="C72" s="88"/>
      <c r="D72" s="88"/>
      <c r="E72" s="85"/>
      <c r="F72" s="85"/>
      <c r="G72" s="85"/>
      <c r="H72" s="85"/>
      <c r="I72" s="85"/>
      <c r="J72" s="85"/>
      <c r="K72" s="85"/>
      <c r="L72" s="85"/>
      <c r="M72" s="85"/>
      <c r="N72" s="85"/>
      <c r="O72" s="85"/>
      <c r="P72" s="85"/>
      <c r="Q72" s="85"/>
      <c r="R72" s="85"/>
      <c r="S72" s="85"/>
      <c r="T72" s="85"/>
      <c r="U72" s="85"/>
      <c r="V72" s="120">
        <f t="shared" si="171"/>
        <v>-1.0045092430211136E-2</v>
      </c>
      <c r="W72" s="120">
        <f t="shared" si="171"/>
        <v>-1.1052774402464799E-3</v>
      </c>
      <c r="X72" s="120">
        <f t="shared" si="171"/>
        <v>-8.2401201091119453E-3</v>
      </c>
      <c r="Y72" s="120">
        <f t="shared" si="171"/>
        <v>-4.3145131460131242E-3</v>
      </c>
      <c r="Z72" s="120">
        <f t="shared" si="171"/>
        <v>7.9325137652101058E-3</v>
      </c>
      <c r="AA72" s="120">
        <f t="shared" si="171"/>
        <v>1.3577675055904403E-3</v>
      </c>
      <c r="AB72" s="120">
        <f t="shared" si="171"/>
        <v>-8.5398520714078247E-3</v>
      </c>
      <c r="AC72" s="120">
        <f t="shared" si="171"/>
        <v>-6.1579299254996278E-4</v>
      </c>
      <c r="AD72" s="120">
        <f t="shared" si="172"/>
        <v>-6.3569819538838168E-3</v>
      </c>
      <c r="AE72" s="120">
        <f t="shared" si="172"/>
        <v>-2.0524416852198413E-3</v>
      </c>
      <c r="AF72" s="121">
        <f t="shared" si="172"/>
        <v>2.4675928496048133E-2</v>
      </c>
      <c r="AG72" s="121">
        <f t="shared" si="172"/>
        <v>1.5234709000990804E-2</v>
      </c>
      <c r="AH72" s="121">
        <f t="shared" si="173"/>
        <v>1.4527853463480719E-2</v>
      </c>
      <c r="AI72" s="121">
        <f t="shared" si="173"/>
        <v>7.6465349695177959E-3</v>
      </c>
      <c r="AJ72" s="121">
        <f t="shared" si="173"/>
        <v>9.529377395105787E-4</v>
      </c>
      <c r="AK72" s="121">
        <f t="shared" si="173"/>
        <v>4.2035681775930145E-4</v>
      </c>
      <c r="AL72" s="121">
        <f t="shared" si="173"/>
        <v>-3.6400932093388211E-3</v>
      </c>
      <c r="AM72" s="121">
        <f t="shared" si="173"/>
        <v>-6.7094135850904041E-3</v>
      </c>
      <c r="AN72" s="121">
        <f t="shared" si="173"/>
        <v>-6.1627746285866092E-3</v>
      </c>
      <c r="AO72" s="121">
        <f t="shared" si="174"/>
        <v>-5.8007969646840858E-2</v>
      </c>
      <c r="AP72" s="121">
        <f t="shared" si="175"/>
        <v>-5.8471439927463086E-2</v>
      </c>
      <c r="AQ72" s="121">
        <f t="shared" si="175"/>
        <v>-5.7398257040361854E-2</v>
      </c>
      <c r="AR72" s="121">
        <f t="shared" si="175"/>
        <v>-5.7982643097573019E-2</v>
      </c>
      <c r="AS72" s="121">
        <f t="shared" si="175"/>
        <v>-5.0436010090205499E-3</v>
      </c>
      <c r="AT72" s="121">
        <f t="shared" si="176"/>
        <v>-3.0677092829373073E-3</v>
      </c>
      <c r="AU72" s="121">
        <f t="shared" si="176"/>
        <v>-3.1557320903889408E-3</v>
      </c>
      <c r="AV72" s="121">
        <f t="shared" si="176"/>
        <v>-3.6551584446895824E-3</v>
      </c>
      <c r="AW72" s="121">
        <f t="shared" si="176"/>
        <v>-3.6092691817555603E-3</v>
      </c>
      <c r="AX72" s="121">
        <f t="shared" si="176"/>
        <v>-3.813763062298442E-3</v>
      </c>
      <c r="AY72" s="121">
        <f t="shared" si="176"/>
        <v>-7.055568283178576E-3</v>
      </c>
      <c r="AZ72" s="121">
        <f t="shared" si="176"/>
        <v>-5.2324131883999883E-3</v>
      </c>
      <c r="BA72" s="121">
        <f t="shared" si="176"/>
        <v>-3.1341324435390644E-3</v>
      </c>
      <c r="BB72" s="121">
        <f t="shared" si="176"/>
        <v>-3.7552216153118531E-3</v>
      </c>
      <c r="BC72" s="121">
        <f t="shared" si="176"/>
        <v>-4.904699785744232E-3</v>
      </c>
      <c r="BD72" s="2"/>
      <c r="BE72" s="2"/>
      <c r="BG72" s="61"/>
    </row>
    <row r="73" spans="1:59">
      <c r="A73" s="2"/>
      <c r="B73" s="88" t="s">
        <v>218</v>
      </c>
      <c r="C73" s="88"/>
      <c r="D73" s="88"/>
      <c r="E73" s="85"/>
      <c r="F73" s="85"/>
      <c r="G73" s="85"/>
      <c r="H73" s="85"/>
      <c r="I73" s="85"/>
      <c r="J73" s="85"/>
      <c r="K73" s="85"/>
      <c r="L73" s="85"/>
      <c r="M73" s="85"/>
      <c r="N73" s="85"/>
      <c r="O73" s="85"/>
      <c r="P73" s="85"/>
      <c r="Q73" s="85"/>
      <c r="R73" s="85"/>
      <c r="S73" s="85"/>
      <c r="T73" s="85"/>
      <c r="U73" s="85"/>
      <c r="V73" s="120">
        <f t="shared" si="171"/>
        <v>2.1574364935289941E-3</v>
      </c>
      <c r="W73" s="120">
        <f t="shared" si="171"/>
        <v>2.9133333403402739E-4</v>
      </c>
      <c r="X73" s="120">
        <f t="shared" si="171"/>
        <v>-2.2120811274924101E-3</v>
      </c>
      <c r="Y73" s="120">
        <f t="shared" si="171"/>
        <v>-5.4074049667340307E-3</v>
      </c>
      <c r="Z73" s="120">
        <f t="shared" si="171"/>
        <v>-5.1028857354183665E-3</v>
      </c>
      <c r="AA73" s="120">
        <f>AA65-W65</f>
        <v>-7.533159370794143E-3</v>
      </c>
      <c r="AB73" s="120">
        <f>AB65-X65</f>
        <v>-9.2694660674419449E-3</v>
      </c>
      <c r="AC73" s="120">
        <f>AC65-Y65</f>
        <v>-6.1889219531619105E-3</v>
      </c>
      <c r="AD73" s="120">
        <f t="shared" si="172"/>
        <v>-9.3164045898332798E-3</v>
      </c>
      <c r="AE73" s="120">
        <f t="shared" si="172"/>
        <v>-2.790489687171549E-3</v>
      </c>
      <c r="AF73" s="121">
        <f t="shared" si="172"/>
        <v>2.015807990005114E-5</v>
      </c>
      <c r="AG73" s="121">
        <f t="shared" si="172"/>
        <v>-4.9758825161994175E-3</v>
      </c>
      <c r="AH73" s="121">
        <f t="shared" si="173"/>
        <v>2.1501343243042342E-3</v>
      </c>
      <c r="AI73" s="121">
        <f t="shared" si="173"/>
        <v>-8.4069619467362078E-3</v>
      </c>
      <c r="AJ73" s="121">
        <f t="shared" si="173"/>
        <v>-5.9610122137321586E-3</v>
      </c>
      <c r="AK73" s="121">
        <f t="shared" si="173"/>
        <v>2.5932225308104156E-3</v>
      </c>
      <c r="AL73" s="121">
        <f t="shared" si="173"/>
        <v>1.9106073884617158E-4</v>
      </c>
      <c r="AM73" s="121">
        <f t="shared" si="173"/>
        <v>9.7065823241664906E-3</v>
      </c>
      <c r="AN73" s="121">
        <f t="shared" si="173"/>
        <v>6.293783279989737E-3</v>
      </c>
      <c r="AO73" s="121">
        <f t="shared" si="174"/>
        <v>1.0543369499471447E-2</v>
      </c>
      <c r="AP73" s="121">
        <f t="shared" si="175"/>
        <v>1.0119603621882328E-2</v>
      </c>
      <c r="AQ73" s="121">
        <f t="shared" si="175"/>
        <v>5.3938504223698669E-3</v>
      </c>
      <c r="AR73" s="121">
        <f t="shared" si="175"/>
        <v>4.4076400945674554E-3</v>
      </c>
      <c r="AS73" s="121">
        <f t="shared" si="175"/>
        <v>-1.3648040018358482E-3</v>
      </c>
      <c r="AT73" s="121">
        <f t="shared" si="176"/>
        <v>-2.8760786811226208E-3</v>
      </c>
      <c r="AU73" s="121">
        <f t="shared" si="176"/>
        <v>-9.2524535314116446E-3</v>
      </c>
      <c r="AV73" s="121">
        <f t="shared" si="176"/>
        <v>-1.1989042213292986E-2</v>
      </c>
      <c r="AW73" s="121">
        <f t="shared" si="176"/>
        <v>-1.7546682203579508E-2</v>
      </c>
      <c r="AX73" s="121">
        <f t="shared" si="176"/>
        <v>-1.7066068479821839E-2</v>
      </c>
      <c r="AY73" s="121">
        <f t="shared" si="176"/>
        <v>-5.6617546352750181E-3</v>
      </c>
      <c r="AZ73" s="121">
        <f t="shared" si="176"/>
        <v>-2.8101952413914222E-5</v>
      </c>
      <c r="BA73" s="121">
        <f t="shared" si="176"/>
        <v>4.1252073521575866E-3</v>
      </c>
      <c r="BB73" s="121">
        <f t="shared" si="176"/>
        <v>3.3944240193620606E-3</v>
      </c>
      <c r="BC73" s="121">
        <f t="shared" si="176"/>
        <v>3.7428679095923706E-3</v>
      </c>
      <c r="BD73" s="2"/>
      <c r="BE73" s="2"/>
      <c r="BG73" s="61"/>
    </row>
    <row r="74" spans="1:59">
      <c r="A74" s="2"/>
      <c r="B74" s="88" t="s">
        <v>219</v>
      </c>
      <c r="C74" s="88"/>
      <c r="D74" s="88"/>
      <c r="E74" s="85"/>
      <c r="F74" s="85"/>
      <c r="G74" s="85"/>
      <c r="H74" s="85"/>
      <c r="I74" s="85"/>
      <c r="J74" s="85"/>
      <c r="K74" s="85"/>
      <c r="L74" s="85"/>
      <c r="M74" s="85"/>
      <c r="N74" s="85"/>
      <c r="O74" s="85"/>
      <c r="P74" s="85"/>
      <c r="Q74" s="85"/>
      <c r="R74" s="85"/>
      <c r="S74" s="85"/>
      <c r="T74" s="85"/>
      <c r="U74" s="85"/>
      <c r="V74" s="120">
        <f t="shared" si="171"/>
        <v>-7.3843025622604766E-3</v>
      </c>
      <c r="W74" s="120">
        <f t="shared" si="171"/>
        <v>-8.2281392990205884E-3</v>
      </c>
      <c r="X74" s="120">
        <f t="shared" si="171"/>
        <v>-5.4334555304223139E-3</v>
      </c>
      <c r="Y74" s="120">
        <f t="shared" si="171"/>
        <v>-1.8932680934101095E-3</v>
      </c>
      <c r="Z74" s="120">
        <f t="shared" si="171"/>
        <v>2.5298330044849354E-3</v>
      </c>
      <c r="AA74" s="120">
        <f t="shared" si="171"/>
        <v>2.2027888850214908E-3</v>
      </c>
      <c r="AB74" s="120">
        <f t="shared" si="171"/>
        <v>1.9393018547474508E-3</v>
      </c>
      <c r="AC74" s="120">
        <f t="shared" si="171"/>
        <v>2.7176419671370231E-3</v>
      </c>
      <c r="AD74" s="120">
        <f t="shared" si="172"/>
        <v>2.4166102858152738E-3</v>
      </c>
      <c r="AE74" s="120">
        <f t="shared" si="172"/>
        <v>8.5882201664895519E-5</v>
      </c>
      <c r="AF74" s="121">
        <f t="shared" si="172"/>
        <v>-6.8341739813189417E-5</v>
      </c>
      <c r="AG74" s="121">
        <f t="shared" si="172"/>
        <v>-4.8319538587239252E-3</v>
      </c>
      <c r="AH74" s="121">
        <f t="shared" si="173"/>
        <v>-7.4410634211847029E-3</v>
      </c>
      <c r="AI74" s="121">
        <f t="shared" si="173"/>
        <v>-2.2335430353744995E-3</v>
      </c>
      <c r="AJ74" s="121">
        <f t="shared" si="173"/>
        <v>-3.7070910523222672E-3</v>
      </c>
      <c r="AK74" s="121">
        <f t="shared" si="173"/>
        <v>-5.7105872056112672E-3</v>
      </c>
      <c r="AL74" s="121">
        <f t="shared" si="173"/>
        <v>4.1760264622081392E-3</v>
      </c>
      <c r="AM74" s="121">
        <f t="shared" si="173"/>
        <v>-3.6413775111019051E-3</v>
      </c>
      <c r="AN74" s="121">
        <f t="shared" si="173"/>
        <v>-4.6226198386863301E-3</v>
      </c>
      <c r="AO74" s="121">
        <f t="shared" si="174"/>
        <v>-1.2651533392638581E-3</v>
      </c>
      <c r="AP74" s="121">
        <f t="shared" si="175"/>
        <v>-7.035201690441098E-3</v>
      </c>
      <c r="AQ74" s="121">
        <f t="shared" si="175"/>
        <v>-1.7029056035683041E-3</v>
      </c>
      <c r="AR74" s="121">
        <f t="shared" si="175"/>
        <v>-9.1273680276370006E-4</v>
      </c>
      <c r="AS74" s="121">
        <f t="shared" si="175"/>
        <v>-1.7336770628162759E-3</v>
      </c>
      <c r="AT74" s="121">
        <f t="shared" si="176"/>
        <v>-4.1763004756383906E-3</v>
      </c>
      <c r="AU74" s="121">
        <f t="shared" si="176"/>
        <v>-3.918427634453818E-3</v>
      </c>
      <c r="AV74" s="121">
        <f t="shared" si="176"/>
        <v>-3.4517086310513409E-3</v>
      </c>
      <c r="AW74" s="121">
        <f t="shared" si="176"/>
        <v>-2.1263108467260983E-3</v>
      </c>
      <c r="AX74" s="121">
        <f t="shared" si="176"/>
        <v>-7.791992637529721E-4</v>
      </c>
      <c r="AY74" s="121">
        <f t="shared" si="176"/>
        <v>2.0959233507067271E-3</v>
      </c>
      <c r="AZ74" s="121">
        <f t="shared" si="176"/>
        <v>2.5277793543136001E-4</v>
      </c>
      <c r="BA74" s="121">
        <f t="shared" si="176"/>
        <v>1.1613641079855977E-3</v>
      </c>
      <c r="BB74" s="121">
        <f t="shared" si="176"/>
        <v>2.0469732922187706E-3</v>
      </c>
      <c r="BC74" s="121">
        <f t="shared" si="176"/>
        <v>-1.031505012947645E-3</v>
      </c>
      <c r="BD74" s="2"/>
      <c r="BE74" s="2"/>
      <c r="BG74" s="61"/>
    </row>
    <row r="75" spans="1:59">
      <c r="A75" s="2"/>
      <c r="B75" s="88" t="s">
        <v>220</v>
      </c>
      <c r="C75" s="88"/>
      <c r="D75" s="88"/>
      <c r="E75" s="85"/>
      <c r="F75" s="85"/>
      <c r="G75" s="85"/>
      <c r="H75" s="85"/>
      <c r="I75" s="85"/>
      <c r="J75" s="85"/>
      <c r="K75" s="85"/>
      <c r="L75" s="85"/>
      <c r="M75" s="85"/>
      <c r="N75" s="85"/>
      <c r="O75" s="85"/>
      <c r="P75" s="85"/>
      <c r="Q75" s="85"/>
      <c r="R75" s="85"/>
      <c r="S75" s="85"/>
      <c r="T75" s="85"/>
      <c r="U75" s="85"/>
      <c r="V75" s="120">
        <f t="shared" si="171"/>
        <v>-2.2179966477924293E-2</v>
      </c>
      <c r="W75" s="120">
        <f t="shared" si="171"/>
        <v>-2.5583244955405052E-2</v>
      </c>
      <c r="X75" s="120">
        <f t="shared" si="171"/>
        <v>-2.9992631056183897E-2</v>
      </c>
      <c r="Y75" s="120">
        <f t="shared" si="171"/>
        <v>-1.645545213606163E-2</v>
      </c>
      <c r="Z75" s="120">
        <f t="shared" si="171"/>
        <v>-8.0137111599682398E-3</v>
      </c>
      <c r="AA75" s="120">
        <f t="shared" si="171"/>
        <v>-8.4055954386681592E-3</v>
      </c>
      <c r="AB75" s="120">
        <f t="shared" si="171"/>
        <v>7.1606278966783177E-3</v>
      </c>
      <c r="AC75" s="120">
        <f t="shared" si="171"/>
        <v>-5.4090595683362053E-3</v>
      </c>
      <c r="AD75" s="120">
        <f t="shared" si="172"/>
        <v>-1.8841953600887931E-2</v>
      </c>
      <c r="AE75" s="120">
        <f t="shared" si="172"/>
        <v>-7.3509997783614833E-4</v>
      </c>
      <c r="AF75" s="121">
        <f t="shared" si="172"/>
        <v>-1.1774780025126455E-2</v>
      </c>
      <c r="AG75" s="121">
        <f t="shared" si="172"/>
        <v>-2.124534579105717E-2</v>
      </c>
      <c r="AH75" s="121">
        <f t="shared" si="173"/>
        <v>-1.1105484570972192E-2</v>
      </c>
      <c r="AI75" s="121">
        <f t="shared" si="173"/>
        <v>-2.8570362533464622E-2</v>
      </c>
      <c r="AJ75" s="121">
        <f t="shared" si="173"/>
        <v>-2.5882764054494828E-2</v>
      </c>
      <c r="AK75" s="121">
        <f t="shared" si="173"/>
        <v>-1.1226002182136485E-2</v>
      </c>
      <c r="AL75" s="121">
        <f t="shared" si="173"/>
        <v>-9.1568830682645791E-3</v>
      </c>
      <c r="AM75" s="121">
        <f t="shared" si="173"/>
        <v>-6.3337642239614383E-4</v>
      </c>
      <c r="AN75" s="121">
        <f t="shared" si="173"/>
        <v>-7.254979127369332E-4</v>
      </c>
      <c r="AO75" s="121">
        <f t="shared" si="174"/>
        <v>5.2984701953891974E-3</v>
      </c>
      <c r="AP75" s="121">
        <f t="shared" si="175"/>
        <v>8.4999994219306721E-3</v>
      </c>
      <c r="AQ75" s="121">
        <f t="shared" si="175"/>
        <v>9.8944621952168424E-3</v>
      </c>
      <c r="AR75" s="121">
        <f t="shared" si="175"/>
        <v>8.3683989268663189E-3</v>
      </c>
      <c r="AS75" s="121">
        <f t="shared" si="175"/>
        <v>4.1701528026348786E-3</v>
      </c>
      <c r="AT75" s="121">
        <f t="shared" si="176"/>
        <v>8.2710989089214773E-3</v>
      </c>
      <c r="AU75" s="121">
        <f t="shared" si="176"/>
        <v>6.7632156953981587E-3</v>
      </c>
      <c r="AV75" s="121">
        <f t="shared" si="176"/>
        <v>5.0328005151464225E-3</v>
      </c>
      <c r="AW75" s="121">
        <f t="shared" si="176"/>
        <v>6.0478885427015239E-3</v>
      </c>
      <c r="AX75" s="121">
        <f t="shared" si="176"/>
        <v>2.3942201913045684E-2</v>
      </c>
      <c r="AY75" s="121">
        <f t="shared" si="176"/>
        <v>1.9767114242210546E-2</v>
      </c>
      <c r="AZ75" s="121">
        <f t="shared" si="176"/>
        <v>1.8069291330777372E-2</v>
      </c>
      <c r="BA75" s="121">
        <f t="shared" si="176"/>
        <v>1.6718644008349486E-2</v>
      </c>
      <c r="BB75" s="121">
        <f t="shared" si="176"/>
        <v>-1.5622243593567259E-3</v>
      </c>
      <c r="BC75" s="121">
        <f t="shared" si="176"/>
        <v>-2.0118596134343358E-3</v>
      </c>
      <c r="BD75" s="2"/>
      <c r="BE75" s="2"/>
      <c r="BG75" s="61"/>
    </row>
    <row r="76" spans="1:59">
      <c r="A76" s="2"/>
      <c r="B76" s="88" t="s">
        <v>221</v>
      </c>
      <c r="C76" s="88"/>
      <c r="D76" s="88"/>
      <c r="E76" s="85"/>
      <c r="F76" s="85"/>
      <c r="G76" s="85"/>
      <c r="H76" s="85"/>
      <c r="I76" s="85"/>
      <c r="J76" s="85"/>
      <c r="K76" s="85"/>
      <c r="L76" s="85"/>
      <c r="M76" s="85"/>
      <c r="N76" s="85"/>
      <c r="O76" s="85"/>
      <c r="P76" s="85"/>
      <c r="Q76" s="85"/>
      <c r="R76" s="85"/>
      <c r="S76" s="85"/>
      <c r="T76" s="85"/>
      <c r="U76" s="85"/>
      <c r="V76" s="120">
        <f t="shared" si="171"/>
        <v>1.8233646130068629E-2</v>
      </c>
      <c r="W76" s="120">
        <f t="shared" si="171"/>
        <v>1.2264633468376571E-2</v>
      </c>
      <c r="X76" s="120">
        <f t="shared" si="171"/>
        <v>2.9166346052113837E-2</v>
      </c>
      <c r="Y76" s="120">
        <f t="shared" si="171"/>
        <v>1.4299109021257375E-2</v>
      </c>
      <c r="Z76" s="120">
        <f>Z68-V68</f>
        <v>-1.236588885086265E-3</v>
      </c>
      <c r="AA76" s="120">
        <f>AA68-W68</f>
        <v>5.701864767941725E-3</v>
      </c>
      <c r="AB76" s="120">
        <f>AB68-X68</f>
        <v>-3.8429945286058975E-3</v>
      </c>
      <c r="AC76" s="120">
        <f>AC68-Y68</f>
        <v>4.7379920723220337E-3</v>
      </c>
      <c r="AD76" s="120">
        <f t="shared" si="172"/>
        <v>2.3700374323226553E-2</v>
      </c>
      <c r="AE76" s="120">
        <f t="shared" si="172"/>
        <v>2.6103609221593271E-2</v>
      </c>
      <c r="AF76" s="121">
        <f t="shared" si="172"/>
        <v>1.0285235983992627E-2</v>
      </c>
      <c r="AG76" s="121">
        <f t="shared" si="172"/>
        <v>2.8250717750148563E-3</v>
      </c>
      <c r="AH76" s="121">
        <f t="shared" si="173"/>
        <v>-2.7682511095517878E-2</v>
      </c>
      <c r="AI76" s="121">
        <f t="shared" si="173"/>
        <v>-5.1415321865782938E-2</v>
      </c>
      <c r="AJ76" s="121">
        <f t="shared" si="173"/>
        <v>-3.8484498920101737E-2</v>
      </c>
      <c r="AK76" s="121">
        <f t="shared" si="173"/>
        <v>-2.7678093809676771E-2</v>
      </c>
      <c r="AL76" s="121">
        <f t="shared" si="173"/>
        <v>-1.5054812616505042E-2</v>
      </c>
      <c r="AM76" s="121">
        <f t="shared" si="173"/>
        <v>8.2740514473300664E-4</v>
      </c>
      <c r="AN76" s="121">
        <f t="shared" si="173"/>
        <v>-7.1414312824943302E-3</v>
      </c>
      <c r="AO76" s="121">
        <f t="shared" si="174"/>
        <v>-1.2408182080558945E-2</v>
      </c>
      <c r="AP76" s="121">
        <f t="shared" si="175"/>
        <v>-3.9842610653074984E-3</v>
      </c>
      <c r="AQ76" s="121">
        <f t="shared" si="175"/>
        <v>-3.5993629820041048E-3</v>
      </c>
      <c r="AR76" s="121">
        <f t="shared" si="175"/>
        <v>-1.290860996510948E-3</v>
      </c>
      <c r="AS76" s="121">
        <f t="shared" si="175"/>
        <v>-3.4550335000776838E-3</v>
      </c>
      <c r="AT76" s="121">
        <f t="shared" si="176"/>
        <v>-5.8544321075486641E-3</v>
      </c>
      <c r="AU76" s="121">
        <f t="shared" si="176"/>
        <v>-1.3679625410514887E-3</v>
      </c>
      <c r="AV76" s="121">
        <f t="shared" si="176"/>
        <v>3.7675625551706546E-3</v>
      </c>
      <c r="AW76" s="121">
        <f t="shared" si="176"/>
        <v>7.4649842805563707E-3</v>
      </c>
      <c r="AX76" s="121">
        <f t="shared" si="176"/>
        <v>-1.6769731322697566E-2</v>
      </c>
      <c r="AY76" s="121">
        <f t="shared" si="176"/>
        <v>-2.1007702989870855E-2</v>
      </c>
      <c r="AZ76" s="121">
        <f t="shared" si="176"/>
        <v>-1.7329643726235786E-2</v>
      </c>
      <c r="BA76" s="121">
        <f t="shared" si="176"/>
        <v>-1.1415567324789676E-2</v>
      </c>
      <c r="BB76" s="121">
        <f t="shared" si="176"/>
        <v>7.6324359063493566E-3</v>
      </c>
      <c r="BC76" s="121">
        <f t="shared" si="176"/>
        <v>1.2166731434377007E-2</v>
      </c>
      <c r="BD76" s="2"/>
      <c r="BE76" s="2"/>
      <c r="BG76" s="61"/>
    </row>
    <row r="77" spans="1:59">
      <c r="A77" s="2"/>
      <c r="B77" s="2"/>
      <c r="C77" s="2"/>
      <c r="D77" s="2"/>
      <c r="E77" s="85"/>
      <c r="F77" s="85"/>
      <c r="G77" s="85"/>
      <c r="H77" s="85"/>
      <c r="I77" s="85"/>
      <c r="J77" s="85"/>
      <c r="K77" s="85"/>
      <c r="L77" s="85"/>
      <c r="M77" s="85"/>
      <c r="N77" s="85"/>
      <c r="O77" s="85"/>
      <c r="P77" s="85"/>
      <c r="Q77" s="85"/>
      <c r="R77" s="85"/>
      <c r="S77" s="85"/>
      <c r="T77" s="85"/>
      <c r="U77" s="85"/>
      <c r="V77" s="85"/>
      <c r="W77" s="85"/>
      <c r="X77" s="85"/>
      <c r="Y77" s="85"/>
      <c r="Z77" s="85"/>
      <c r="AA77" s="85"/>
      <c r="AB77" s="85"/>
      <c r="AC77" s="85"/>
      <c r="AD77" s="85"/>
      <c r="AE77" s="85"/>
      <c r="AF77" s="111"/>
      <c r="AG77" s="111"/>
      <c r="AH77" s="111"/>
      <c r="AI77" s="111"/>
      <c r="AJ77" s="111"/>
      <c r="AK77" s="111"/>
      <c r="AL77" s="111"/>
      <c r="AM77" s="111"/>
      <c r="AN77" s="111"/>
      <c r="AO77" s="111"/>
      <c r="AP77" s="111"/>
      <c r="AQ77" s="111"/>
      <c r="AR77" s="111"/>
      <c r="AS77" s="111"/>
      <c r="AT77" s="111"/>
      <c r="AU77" s="111"/>
      <c r="AV77" s="111"/>
      <c r="AW77" s="111"/>
      <c r="AX77" s="111"/>
      <c r="AY77" s="111"/>
      <c r="AZ77" s="111"/>
      <c r="BA77" s="111"/>
      <c r="BB77" s="111"/>
      <c r="BC77" s="111"/>
      <c r="BD77" s="2"/>
      <c r="BE77" s="2"/>
      <c r="BG77" s="61"/>
    </row>
    <row r="78" spans="1:59">
      <c r="A78" s="2"/>
      <c r="B78" s="13" t="s">
        <v>564</v>
      </c>
      <c r="C78" s="13"/>
      <c r="D78" s="13"/>
      <c r="E78" s="137"/>
      <c r="F78" s="137"/>
      <c r="G78" s="137"/>
      <c r="H78" s="137"/>
      <c r="I78" s="137">
        <f t="shared" ref="I78:Y78" si="177">I21/E21-1</f>
        <v>4.0767539989410961E-2</v>
      </c>
      <c r="J78" s="137">
        <f t="shared" si="177"/>
        <v>0.11903499923059835</v>
      </c>
      <c r="K78" s="137">
        <f t="shared" si="177"/>
        <v>7.5785727782326617E-2</v>
      </c>
      <c r="L78" s="137">
        <f t="shared" si="177"/>
        <v>0.14707547017254474</v>
      </c>
      <c r="M78" s="137">
        <f t="shared" si="177"/>
        <v>0.12634499768768315</v>
      </c>
      <c r="N78" s="137">
        <f t="shared" si="177"/>
        <v>0.17954437806536383</v>
      </c>
      <c r="O78" s="137">
        <f t="shared" si="177"/>
        <v>0.12781185889794622</v>
      </c>
      <c r="P78" s="137">
        <f t="shared" si="177"/>
        <v>9.7597766938280595E-2</v>
      </c>
      <c r="Q78" s="137">
        <f t="shared" si="177"/>
        <v>0.11026453140604242</v>
      </c>
      <c r="R78" s="140">
        <f t="shared" si="177"/>
        <v>6.9455958549222707E-2</v>
      </c>
      <c r="S78" s="141">
        <f t="shared" si="177"/>
        <v>7.0714306260024618E-2</v>
      </c>
      <c r="T78" s="141">
        <f t="shared" si="177"/>
        <v>8.5490065119385505E-2</v>
      </c>
      <c r="U78" s="141">
        <f t="shared" si="177"/>
        <v>0.1261351735540801</v>
      </c>
      <c r="V78" s="141">
        <f t="shared" si="177"/>
        <v>0.15967394200721885</v>
      </c>
      <c r="W78" s="141">
        <f t="shared" si="177"/>
        <v>0.14666311119730424</v>
      </c>
      <c r="X78" s="141">
        <f t="shared" si="177"/>
        <v>6.9101794990120702E-3</v>
      </c>
      <c r="Y78" s="141">
        <f t="shared" si="177"/>
        <v>-0.13458486125554159</v>
      </c>
      <c r="Z78" s="141">
        <f t="shared" ref="Z78:AG78" si="178">Z21/V21-1</f>
        <v>-0.18460494020575491</v>
      </c>
      <c r="AA78" s="141">
        <f t="shared" si="178"/>
        <v>-0.15675144288704257</v>
      </c>
      <c r="AB78" s="141">
        <f t="shared" si="178"/>
        <v>-0.11414033397182044</v>
      </c>
      <c r="AC78" s="141">
        <f t="shared" si="178"/>
        <v>-0.11393878067290664</v>
      </c>
      <c r="AD78" s="141">
        <f t="shared" si="178"/>
        <v>-0.12572050723709494</v>
      </c>
      <c r="AE78" s="141">
        <f t="shared" si="178"/>
        <v>-0.20864202173667779</v>
      </c>
      <c r="AF78" s="142">
        <f t="shared" si="178"/>
        <v>-0.2044223670960682</v>
      </c>
      <c r="AG78" s="142">
        <f t="shared" si="178"/>
        <v>-4.5537600639524944E-2</v>
      </c>
      <c r="AH78" s="142">
        <f t="shared" ref="AH78:AN78" si="179">AH21/AD21-1</f>
        <v>0.24952201219119474</v>
      </c>
      <c r="AI78" s="142">
        <f t="shared" si="179"/>
        <v>0.45476482521783934</v>
      </c>
      <c r="AJ78" s="142">
        <f t="shared" si="179"/>
        <v>0.60358922831781148</v>
      </c>
      <c r="AK78" s="142">
        <f t="shared" si="179"/>
        <v>0.56102120786096732</v>
      </c>
      <c r="AL78" s="142">
        <f t="shared" si="179"/>
        <v>0.21048259619105503</v>
      </c>
      <c r="AM78" s="142">
        <f t="shared" si="179"/>
        <v>0.21657499279375947</v>
      </c>
      <c r="AN78" s="142">
        <f t="shared" si="179"/>
        <v>0.25837317736541787</v>
      </c>
      <c r="AO78" s="142">
        <f t="shared" ref="AO78:AS78" si="180">AO21/AK21-1</f>
        <v>0.18956758006380947</v>
      </c>
      <c r="AP78" s="142">
        <f t="shared" si="180"/>
        <v>0.27764781375132408</v>
      </c>
      <c r="AQ78" s="142">
        <f t="shared" si="180"/>
        <v>0.24582433122410907</v>
      </c>
      <c r="AR78" s="142">
        <f>AR21/AN21-1</f>
        <v>0.23117284460676579</v>
      </c>
      <c r="AS78" s="142">
        <f t="shared" si="180"/>
        <v>0.29341682942557501</v>
      </c>
      <c r="AT78" s="142">
        <f t="shared" ref="AT78:BC78" si="181">AT21/AP21-1</f>
        <v>0.26773868279997881</v>
      </c>
      <c r="AU78" s="142">
        <f t="shared" si="181"/>
        <v>0.27849101607121041</v>
      </c>
      <c r="AV78" s="142">
        <f t="shared" si="181"/>
        <v>0.25576681722696115</v>
      </c>
      <c r="AW78" s="142">
        <f t="shared" si="181"/>
        <v>0.18202367534513564</v>
      </c>
      <c r="AX78" s="142">
        <f t="shared" si="181"/>
        <v>0.19287627978183908</v>
      </c>
      <c r="AY78" s="142">
        <f t="shared" si="181"/>
        <v>0.1151064583017245</v>
      </c>
      <c r="AZ78" s="142">
        <f t="shared" si="181"/>
        <v>8.2508497765996225E-2</v>
      </c>
      <c r="BA78" s="142">
        <f t="shared" si="181"/>
        <v>3.6861236961331478E-2</v>
      </c>
      <c r="BB78" s="142">
        <f t="shared" si="181"/>
        <v>6.2340826598752397E-3</v>
      </c>
      <c r="BC78" s="142">
        <f t="shared" si="181"/>
        <v>0.11372649805231783</v>
      </c>
      <c r="BD78" s="13"/>
      <c r="BE78" s="2"/>
      <c r="BG78" s="61"/>
    </row>
    <row r="79" spans="1:59">
      <c r="A79" s="2"/>
      <c r="B79" s="2" t="s">
        <v>563</v>
      </c>
      <c r="C79" s="2"/>
      <c r="D79" s="2"/>
      <c r="E79" s="114"/>
      <c r="F79" s="114">
        <f t="shared" ref="F79:Y79" si="182">F21/E21-1</f>
        <v>-6.1640648815158294E-2</v>
      </c>
      <c r="G79" s="114">
        <f t="shared" si="182"/>
        <v>8.5848137192880536E-2</v>
      </c>
      <c r="H79" s="114">
        <f t="shared" si="182"/>
        <v>-2.6280153681426E-2</v>
      </c>
      <c r="I79" s="114">
        <f t="shared" si="182"/>
        <v>4.9014376041009777E-2</v>
      </c>
      <c r="J79" s="114">
        <f t="shared" si="182"/>
        <v>8.9255433944812612E-3</v>
      </c>
      <c r="K79" s="114">
        <f t="shared" si="182"/>
        <v>4.3881495515592395E-2</v>
      </c>
      <c r="L79" s="114">
        <f t="shared" si="182"/>
        <v>3.8245927313710348E-2</v>
      </c>
      <c r="M79" s="114">
        <f t="shared" si="182"/>
        <v>3.005610849522089E-2</v>
      </c>
      <c r="N79" s="114">
        <f t="shared" si="182"/>
        <v>5.6578983384884873E-2</v>
      </c>
      <c r="O79" s="114">
        <f t="shared" si="182"/>
        <v>-1.9011138372203584E-3</v>
      </c>
      <c r="P79" s="114">
        <f t="shared" si="182"/>
        <v>1.0431307634805709E-2</v>
      </c>
      <c r="Q79" s="114">
        <f t="shared" si="182"/>
        <v>4.1943412303503846E-2</v>
      </c>
      <c r="R79" s="114">
        <f t="shared" si="182"/>
        <v>1.7743661528892174E-2</v>
      </c>
      <c r="S79" s="114">
        <f t="shared" si="182"/>
        <v>-7.2672658123595912E-4</v>
      </c>
      <c r="T79" s="114">
        <f t="shared" si="182"/>
        <v>2.4375166662626402E-2</v>
      </c>
      <c r="U79" s="114">
        <f t="shared" si="182"/>
        <v>8.0957959130548041E-2</v>
      </c>
      <c r="V79" s="114">
        <f t="shared" si="182"/>
        <v>4.8054293689453242E-2</v>
      </c>
      <c r="W79" s="115">
        <f t="shared" si="182"/>
        <v>-1.193796020679927E-2</v>
      </c>
      <c r="X79" s="115">
        <f t="shared" si="182"/>
        <v>-0.100473562926788</v>
      </c>
      <c r="Y79" s="115">
        <f t="shared" si="182"/>
        <v>-7.0942571418498912E-2</v>
      </c>
      <c r="Z79" s="115">
        <f t="shared" ref="Z79:AG79" si="183">Z21/Y21-1</f>
        <v>-1.252213508727551E-2</v>
      </c>
      <c r="AA79" s="115">
        <f t="shared" si="183"/>
        <v>2.181375688484688E-2</v>
      </c>
      <c r="AB79" s="115">
        <f t="shared" si="183"/>
        <v>-5.5018615320973296E-2</v>
      </c>
      <c r="AC79" s="115">
        <f t="shared" si="183"/>
        <v>-7.0731189642364467E-2</v>
      </c>
      <c r="AD79" s="115">
        <f t="shared" si="183"/>
        <v>-2.5652372523268463E-2</v>
      </c>
      <c r="AE79" s="115">
        <f t="shared" si="183"/>
        <v>-7.5100725221595499E-2</v>
      </c>
      <c r="AF79" s="116">
        <f t="shared" si="183"/>
        <v>-4.9979814683742796E-2</v>
      </c>
      <c r="AG79" s="116">
        <f t="shared" si="183"/>
        <v>0.11485303470303188</v>
      </c>
      <c r="AH79" s="116">
        <f t="shared" ref="AH79:AO79" si="184">AH21/AG21-1</f>
        <v>0.27555449944826638</v>
      </c>
      <c r="AI79" s="116">
        <f t="shared" si="184"/>
        <v>7.6820511114957135E-2</v>
      </c>
      <c r="AJ79" s="116">
        <f t="shared" si="184"/>
        <v>4.720853119989199E-2</v>
      </c>
      <c r="AK79" s="116">
        <f t="shared" si="184"/>
        <v>8.5258743378565649E-2</v>
      </c>
      <c r="AL79" s="116">
        <f t="shared" si="184"/>
        <v>-1.0880496498136494E-2</v>
      </c>
      <c r="AM79" s="116">
        <f t="shared" si="184"/>
        <v>8.2240182281054341E-2</v>
      </c>
      <c r="AN79" s="116">
        <f t="shared" si="184"/>
        <v>8.3187748043394016E-2</v>
      </c>
      <c r="AO79" s="116">
        <f t="shared" si="184"/>
        <v>2.5918734064880766E-2</v>
      </c>
      <c r="AP79" s="116">
        <f t="shared" ref="AP79:BC79" si="185">AP21/AO21-1</f>
        <v>6.2357778042473555E-2</v>
      </c>
      <c r="AQ79" s="116">
        <f t="shared" si="185"/>
        <v>5.5283887157792533E-2</v>
      </c>
      <c r="AR79" s="116">
        <f t="shared" si="185"/>
        <v>7.0448944990049833E-2</v>
      </c>
      <c r="AS79" s="116">
        <f t="shared" si="185"/>
        <v>7.7785756951388896E-2</v>
      </c>
      <c r="AT79" s="116">
        <f t="shared" si="185"/>
        <v>4.1266836458287992E-2</v>
      </c>
      <c r="AU79" s="116">
        <f t="shared" si="185"/>
        <v>6.423428380059315E-2</v>
      </c>
      <c r="AV79" s="116">
        <f t="shared" si="185"/>
        <v>5.1422534657248553E-2</v>
      </c>
      <c r="AW79" s="116">
        <f t="shared" si="185"/>
        <v>1.4494302755627686E-2</v>
      </c>
      <c r="AX79" s="116">
        <f t="shared" si="185"/>
        <v>5.082709935728591E-2</v>
      </c>
      <c r="AY79" s="116">
        <f t="shared" si="185"/>
        <v>-5.1486955301101034E-3</v>
      </c>
      <c r="AZ79" s="116">
        <f t="shared" si="185"/>
        <v>2.0686249313398131E-2</v>
      </c>
      <c r="BA79" s="116">
        <f t="shared" si="185"/>
        <v>-2.8284932805387797E-2</v>
      </c>
      <c r="BB79" s="116">
        <f t="shared" si="185"/>
        <v>1.9787416737375718E-2</v>
      </c>
      <c r="BC79" s="116">
        <f t="shared" si="185"/>
        <v>0.10112773807180964</v>
      </c>
      <c r="BD79" s="2"/>
      <c r="BE79" s="2"/>
      <c r="BG79" s="61"/>
    </row>
    <row r="80" spans="1:59">
      <c r="A80" s="2"/>
      <c r="B80" s="2"/>
      <c r="C80" s="2"/>
      <c r="D80" s="2"/>
      <c r="E80" s="85"/>
      <c r="F80" s="85"/>
      <c r="G80" s="85"/>
      <c r="H80" s="85"/>
      <c r="I80" s="85"/>
      <c r="J80" s="85"/>
      <c r="K80" s="85"/>
      <c r="L80" s="85"/>
      <c r="M80" s="85"/>
      <c r="N80" s="85"/>
      <c r="O80" s="85"/>
      <c r="P80" s="85"/>
      <c r="Q80" s="85"/>
      <c r="R80" s="85"/>
      <c r="S80" s="85"/>
      <c r="T80" s="85"/>
      <c r="U80" s="85"/>
      <c r="V80" s="85"/>
      <c r="W80" s="85"/>
      <c r="X80" s="85"/>
      <c r="Y80" s="85"/>
      <c r="Z80" s="85"/>
      <c r="AA80" s="85"/>
      <c r="AB80" s="85"/>
      <c r="AC80" s="85"/>
      <c r="AD80" s="85"/>
      <c r="AE80" s="85"/>
      <c r="AF80" s="111"/>
      <c r="AG80" s="111"/>
      <c r="AH80" s="111"/>
      <c r="AI80" s="111"/>
      <c r="AJ80" s="111"/>
      <c r="AK80" s="111"/>
      <c r="AL80" s="111"/>
      <c r="AM80" s="111"/>
      <c r="AN80" s="111"/>
      <c r="AO80" s="111"/>
      <c r="AP80" s="111"/>
      <c r="AQ80" s="111"/>
      <c r="AR80" s="111"/>
      <c r="AS80" s="111"/>
      <c r="AT80" s="111"/>
      <c r="AU80" s="111"/>
      <c r="AV80" s="111"/>
      <c r="AW80" s="111"/>
      <c r="AX80" s="111"/>
      <c r="AY80" s="111"/>
      <c r="AZ80" s="111"/>
      <c r="BA80" s="111"/>
      <c r="BB80" s="111"/>
      <c r="BC80" s="111"/>
      <c r="BD80" s="2"/>
      <c r="BE80" s="2"/>
      <c r="BG80" s="61"/>
    </row>
    <row r="81" spans="1:59">
      <c r="A81" s="2"/>
      <c r="B81" s="2" t="s">
        <v>396</v>
      </c>
      <c r="C81" s="2"/>
      <c r="D81" s="2"/>
      <c r="E81" s="85"/>
      <c r="F81" s="85"/>
      <c r="G81" s="85"/>
      <c r="H81" s="85"/>
      <c r="I81" s="114">
        <f t="shared" ref="I81:W81" si="186">I25/E25-1</f>
        <v>0.14834356889542422</v>
      </c>
      <c r="J81" s="114">
        <f t="shared" si="186"/>
        <v>2.3928029597295897E-2</v>
      </c>
      <c r="K81" s="114">
        <f t="shared" si="186"/>
        <v>2.1628630705394114E-2</v>
      </c>
      <c r="L81" s="114">
        <f t="shared" si="186"/>
        <v>4.6917061915139335E-3</v>
      </c>
      <c r="M81" s="114">
        <f t="shared" si="186"/>
        <v>-9.6414582705633967E-3</v>
      </c>
      <c r="N81" s="114">
        <f t="shared" si="186"/>
        <v>4.9259162984143456E-2</v>
      </c>
      <c r="O81" s="114">
        <f t="shared" si="186"/>
        <v>-2.1932273950347803E-2</v>
      </c>
      <c r="P81" s="114">
        <f t="shared" si="186"/>
        <v>-2.9932632438501527E-2</v>
      </c>
      <c r="Q81" s="114">
        <f t="shared" si="186"/>
        <v>-2.6442551465368669E-2</v>
      </c>
      <c r="R81" s="114">
        <f t="shared" si="186"/>
        <v>9.6618357487932016E-4</v>
      </c>
      <c r="S81" s="114">
        <f t="shared" si="186"/>
        <v>0.10018167661562427</v>
      </c>
      <c r="T81" s="114">
        <f t="shared" si="186"/>
        <v>0.1453636722346443</v>
      </c>
      <c r="U81" s="114">
        <f t="shared" si="186"/>
        <v>0.25421212989245068</v>
      </c>
      <c r="V81" s="114">
        <f t="shared" si="186"/>
        <v>0.24745074745074747</v>
      </c>
      <c r="W81" s="114">
        <f t="shared" si="186"/>
        <v>0.16914366595895269</v>
      </c>
      <c r="X81" s="114">
        <f t="shared" ref="X81:AC81" si="187">X25/T25-1</f>
        <v>0.11044762407845488</v>
      </c>
      <c r="Y81" s="114">
        <f t="shared" si="187"/>
        <v>2.6057346926063651E-2</v>
      </c>
      <c r="Z81" s="114">
        <f t="shared" si="187"/>
        <v>-4.3847466370382171E-2</v>
      </c>
      <c r="AA81" s="114">
        <f t="shared" si="187"/>
        <v>-5.4217110573042793E-2</v>
      </c>
      <c r="AB81" s="115">
        <f t="shared" si="187"/>
        <v>5.170630816959676E-4</v>
      </c>
      <c r="AC81" s="115">
        <f t="shared" si="187"/>
        <v>-8.6405763082277875E-3</v>
      </c>
      <c r="AD81" s="115">
        <f t="shared" ref="AD81:AN81" si="188">AD25/Z25-1</f>
        <v>6.9513612217795506E-2</v>
      </c>
      <c r="AE81" s="115">
        <f t="shared" si="188"/>
        <v>0.11718900006400279</v>
      </c>
      <c r="AF81" s="116">
        <f t="shared" si="188"/>
        <v>0.13122480620155041</v>
      </c>
      <c r="AG81" s="116">
        <f t="shared" si="188"/>
        <v>0.12130799534608405</v>
      </c>
      <c r="AH81" s="116">
        <f t="shared" si="188"/>
        <v>0.31129952271933559</v>
      </c>
      <c r="AI81" s="116">
        <f t="shared" si="188"/>
        <v>0.32435167857006464</v>
      </c>
      <c r="AJ81" s="116">
        <f t="shared" si="188"/>
        <v>0.26835151581601879</v>
      </c>
      <c r="AK81" s="116">
        <f t="shared" si="188"/>
        <v>0.2490443077147122</v>
      </c>
      <c r="AL81" s="116">
        <f t="shared" si="188"/>
        <v>5.244691337091445E-2</v>
      </c>
      <c r="AM81" s="116">
        <f t="shared" si="188"/>
        <v>5.0630423007599124E-2</v>
      </c>
      <c r="AN81" s="116">
        <f t="shared" si="188"/>
        <v>8.1013715998155655E-2</v>
      </c>
      <c r="AO81" s="116">
        <f t="shared" ref="AO81:AS81" si="189">AO25/AK25-1</f>
        <v>9.3334545973911887E-2</v>
      </c>
      <c r="AP81" s="116">
        <f t="shared" si="189"/>
        <v>8.4424637293959881E-2</v>
      </c>
      <c r="AQ81" s="116">
        <f t="shared" si="189"/>
        <v>0.13188896629956415</v>
      </c>
      <c r="AR81" s="116">
        <f t="shared" si="189"/>
        <v>0.13915581559622048</v>
      </c>
      <c r="AS81" s="116">
        <f t="shared" si="189"/>
        <v>0.14405455335656336</v>
      </c>
      <c r="AT81" s="116">
        <f t="shared" ref="AT81:BC81" si="190">AT25/AP25-1</f>
        <v>0.13841606492344782</v>
      </c>
      <c r="AU81" s="116">
        <f t="shared" si="190"/>
        <v>8.4828790377340146E-2</v>
      </c>
      <c r="AV81" s="116">
        <f t="shared" si="190"/>
        <v>8.7806533133657716E-2</v>
      </c>
      <c r="AW81" s="116">
        <f t="shared" si="190"/>
        <v>9.5926642276233265E-2</v>
      </c>
      <c r="AX81" s="116">
        <f t="shared" si="190"/>
        <v>9.9346345685198179E-2</v>
      </c>
      <c r="AY81" s="116">
        <f t="shared" si="190"/>
        <v>8.8020297760093014E-2</v>
      </c>
      <c r="AZ81" s="116">
        <f t="shared" si="190"/>
        <v>8.3526033320068471E-2</v>
      </c>
      <c r="BA81" s="116">
        <f t="shared" si="190"/>
        <v>7.115746499537523E-2</v>
      </c>
      <c r="BB81" s="116">
        <f t="shared" si="190"/>
        <v>9.1808407052145213E-2</v>
      </c>
      <c r="BC81" s="116">
        <f t="shared" si="190"/>
        <v>0.13002475781514855</v>
      </c>
      <c r="BD81" s="2"/>
      <c r="BE81" s="2"/>
      <c r="BG81" s="61"/>
    </row>
    <row r="82" spans="1:59">
      <c r="A82" s="2"/>
      <c r="B82" s="2"/>
      <c r="C82" s="2"/>
      <c r="D82" s="2"/>
      <c r="E82" s="85"/>
      <c r="F82" s="85"/>
      <c r="G82" s="85"/>
      <c r="H82" s="85"/>
      <c r="I82" s="85"/>
      <c r="J82" s="85"/>
      <c r="K82" s="85"/>
      <c r="L82" s="85"/>
      <c r="M82" s="85"/>
      <c r="N82" s="85"/>
      <c r="O82" s="85"/>
      <c r="P82" s="85"/>
      <c r="Q82" s="85"/>
      <c r="R82" s="85"/>
      <c r="S82" s="85"/>
      <c r="T82" s="85"/>
      <c r="U82" s="85"/>
      <c r="V82" s="85"/>
      <c r="W82" s="85"/>
      <c r="X82" s="85"/>
      <c r="Y82" s="85"/>
      <c r="Z82" s="85"/>
      <c r="AA82" s="85"/>
      <c r="AB82" s="85"/>
      <c r="AC82" s="85"/>
      <c r="AD82" s="85"/>
      <c r="AE82" s="85"/>
      <c r="AF82" s="111"/>
      <c r="AG82" s="111"/>
      <c r="AH82" s="111"/>
      <c r="AI82" s="111"/>
      <c r="AJ82" s="111"/>
      <c r="AK82" s="111"/>
      <c r="AL82" s="111"/>
      <c r="AM82" s="111"/>
      <c r="AN82" s="111"/>
      <c r="AO82" s="111"/>
      <c r="AP82" s="111"/>
      <c r="AQ82" s="111"/>
      <c r="AR82" s="111"/>
      <c r="AS82" s="111"/>
      <c r="AT82" s="111"/>
      <c r="AU82" s="111"/>
      <c r="AV82" s="111"/>
      <c r="AW82" s="111"/>
      <c r="AX82" s="111"/>
      <c r="AY82" s="111"/>
      <c r="AZ82" s="111"/>
      <c r="BA82" s="111"/>
      <c r="BB82" s="111"/>
      <c r="BC82" s="111"/>
      <c r="BD82" s="2"/>
      <c r="BE82" s="2"/>
      <c r="BG82" s="61"/>
    </row>
    <row r="83" spans="1:59">
      <c r="A83" s="2"/>
      <c r="B83" s="2" t="s">
        <v>397</v>
      </c>
      <c r="C83" s="2"/>
      <c r="D83" s="2"/>
      <c r="E83" s="114">
        <f>SUM(E42:E43)/E38</f>
        <v>0.4090290806754221</v>
      </c>
      <c r="F83" s="114">
        <f t="shared" ref="F83:X83" si="191">SUM(F42:F43)/F38</f>
        <v>0.38625386016311664</v>
      </c>
      <c r="G83" s="114">
        <f t="shared" si="191"/>
        <v>0.52372869848598003</v>
      </c>
      <c r="H83" s="114">
        <f t="shared" si="191"/>
        <v>0.70152390961639521</v>
      </c>
      <c r="I83" s="114">
        <f t="shared" si="191"/>
        <v>0.60894415694755544</v>
      </c>
      <c r="J83" s="114">
        <f t="shared" si="191"/>
        <v>0.52696944489806163</v>
      </c>
      <c r="K83" s="114">
        <f t="shared" si="191"/>
        <v>0.63259059468784862</v>
      </c>
      <c r="L83" s="114">
        <f t="shared" si="191"/>
        <v>0.72663524798767676</v>
      </c>
      <c r="M83" s="114">
        <f t="shared" si="191"/>
        <v>0.56947152931645129</v>
      </c>
      <c r="N83" s="114">
        <f t="shared" si="191"/>
        <v>0.56704411462001991</v>
      </c>
      <c r="O83" s="114">
        <f t="shared" si="191"/>
        <v>0.52324623172454987</v>
      </c>
      <c r="P83" s="114">
        <f t="shared" si="191"/>
        <v>0.46616314790283686</v>
      </c>
      <c r="Q83" s="114">
        <f t="shared" si="191"/>
        <v>0.45642995862534819</v>
      </c>
      <c r="R83" s="114">
        <f t="shared" si="191"/>
        <v>0.55391269414432609</v>
      </c>
      <c r="S83" s="114">
        <f t="shared" si="191"/>
        <v>0.44976205744372066</v>
      </c>
      <c r="T83" s="114">
        <f t="shared" si="191"/>
        <v>0.51889797014696293</v>
      </c>
      <c r="U83" s="114">
        <f t="shared" si="191"/>
        <v>0.41373624266595083</v>
      </c>
      <c r="V83" s="114">
        <f t="shared" si="191"/>
        <v>0.4046769082668164</v>
      </c>
      <c r="W83" s="114">
        <f t="shared" si="191"/>
        <v>0.40810642430461391</v>
      </c>
      <c r="X83" s="114">
        <f t="shared" si="191"/>
        <v>0.63812244018107356</v>
      </c>
      <c r="Y83" s="114">
        <f t="shared" ref="Y83:Z83" si="192">SUM(Y42:Y43)/Y38</f>
        <v>0.27140424214274655</v>
      </c>
      <c r="Z83" s="114">
        <f t="shared" si="192"/>
        <v>0.56843429050513516</v>
      </c>
      <c r="AA83" s="114">
        <f t="shared" ref="AA83:AB83" si="193">SUM(AA42:AA43)/AA38</f>
        <v>0.47678985895375825</v>
      </c>
      <c r="AB83" s="115">
        <f t="shared" si="193"/>
        <v>6.3314400267290349E-2</v>
      </c>
      <c r="AC83" s="115">
        <f t="shared" ref="AC83" si="194">SUM(AC42:AC43)/AC38</f>
        <v>-2.5842600513259195</v>
      </c>
      <c r="AD83" s="115">
        <f t="shared" ref="AD83:AE83" si="195">SUM(AD42:AD43)/AD38</f>
        <v>1.7411528357286354</v>
      </c>
      <c r="AE83" s="115">
        <f t="shared" si="195"/>
        <v>1.1246997598078463</v>
      </c>
      <c r="AF83" s="116">
        <f t="shared" ref="AF83:AG83" si="196">SUM(AF42:AF43)/AF38</f>
        <v>-0.9110889110889111</v>
      </c>
      <c r="AG83" s="116">
        <f t="shared" si="196"/>
        <v>0.19257182901191311</v>
      </c>
      <c r="AH83" s="116">
        <f t="shared" ref="AH83:AI83" si="197">SUM(AH42:AH43)/AH38</f>
        <v>0.2023873032808749</v>
      </c>
      <c r="AI83" s="116">
        <f t="shared" si="197"/>
        <v>0.27139528946192631</v>
      </c>
      <c r="AJ83" s="116">
        <f t="shared" ref="AJ83:AK83" si="198">SUM(AJ42:AJ43)/AJ38</f>
        <v>0.69066153052277113</v>
      </c>
      <c r="AK83" s="116">
        <f t="shared" si="198"/>
        <v>0.2848670973207667</v>
      </c>
      <c r="AL83" s="116">
        <f t="shared" ref="AL83:AM83" si="199">SUM(AL42:AL43)/AL38</f>
        <v>-0.30573084373137571</v>
      </c>
      <c r="AM83" s="116">
        <f t="shared" si="199"/>
        <v>-1.6763807554290007</v>
      </c>
      <c r="AN83" s="116">
        <f t="shared" ref="AN83" si="200">SUM(AN42:AN43)/AN38</f>
        <v>-1.0369344858305447</v>
      </c>
      <c r="AO83" s="116">
        <f t="shared" ref="AO83" si="201">SUM(AO42:AO43)/AO38</f>
        <v>0.25239246930890291</v>
      </c>
      <c r="AP83" s="116">
        <f t="shared" ref="AP83:AQ83" si="202">SUM(AP42:AP43)/AP38</f>
        <v>0.46990258460498902</v>
      </c>
      <c r="AQ83" s="116">
        <f t="shared" si="202"/>
        <v>0.34032156888639442</v>
      </c>
      <c r="AR83" s="116">
        <f t="shared" ref="AR83:AS83" si="203">SUM(AR42:AR43)/AR38</f>
        <v>0.37508991103539657</v>
      </c>
      <c r="AS83" s="116">
        <f t="shared" si="203"/>
        <v>0.26242852604828465</v>
      </c>
      <c r="AT83" s="116">
        <f t="shared" ref="AT83:AU83" si="204">SUM(AT42:AT43)/AT38</f>
        <v>0.31271401130258064</v>
      </c>
      <c r="AU83" s="116">
        <f t="shared" si="204"/>
        <v>0.30159660516259112</v>
      </c>
      <c r="AV83" s="116">
        <f t="shared" ref="AV83:AW83" si="205">SUM(AV42:AV43)/AV38</f>
        <v>0.29154582170059362</v>
      </c>
      <c r="AW83" s="116">
        <f t="shared" si="205"/>
        <v>0.15715995213402473</v>
      </c>
      <c r="AX83" s="116">
        <f t="shared" ref="AX83:AY83" si="206">SUM(AX42:AX43)/AX38</f>
        <v>0.17955637109396083</v>
      </c>
      <c r="AY83" s="116">
        <f t="shared" si="206"/>
        <v>0.46869050942965201</v>
      </c>
      <c r="AZ83" s="116">
        <f t="shared" ref="AZ83:BA83" si="207">SUM(AZ42:AZ43)/AZ38</f>
        <v>0.29987343004575989</v>
      </c>
      <c r="BA83" s="116">
        <f t="shared" si="207"/>
        <v>0.25550755939524838</v>
      </c>
      <c r="BB83" s="116">
        <f t="shared" ref="BB83:BC83" si="208">SUM(BB42:BB43)/BB38</f>
        <v>0.21705035242882961</v>
      </c>
      <c r="BC83" s="116">
        <f t="shared" si="208"/>
        <v>0.29572353918676025</v>
      </c>
      <c r="BD83" s="2"/>
      <c r="BE83" s="2"/>
      <c r="BG83" s="61"/>
    </row>
    <row r="84" spans="1:59">
      <c r="A84" s="2"/>
      <c r="B84" s="2" t="s">
        <v>398</v>
      </c>
      <c r="C84" s="2"/>
      <c r="D84" s="2"/>
      <c r="E84" s="114">
        <f t="shared" ref="E84:W84" si="209">E42/E38</f>
        <v>0.4090290806754221</v>
      </c>
      <c r="F84" s="114">
        <f t="shared" si="209"/>
        <v>0.38625386016311664</v>
      </c>
      <c r="G84" s="114">
        <f t="shared" si="209"/>
        <v>0.52372869848598003</v>
      </c>
      <c r="H84" s="114">
        <f t="shared" si="209"/>
        <v>0.70152390961639521</v>
      </c>
      <c r="I84" s="114">
        <f t="shared" si="209"/>
        <v>0.60894415694755544</v>
      </c>
      <c r="J84" s="114">
        <f t="shared" si="209"/>
        <v>0.52696944489806163</v>
      </c>
      <c r="K84" s="114">
        <f t="shared" si="209"/>
        <v>0.63259059468784862</v>
      </c>
      <c r="L84" s="114">
        <f t="shared" si="209"/>
        <v>0.72663524798767676</v>
      </c>
      <c r="M84" s="114">
        <f t="shared" si="209"/>
        <v>0.56947152931645129</v>
      </c>
      <c r="N84" s="114">
        <f t="shared" si="209"/>
        <v>0.56704411462001991</v>
      </c>
      <c r="O84" s="114">
        <f t="shared" si="209"/>
        <v>0.52324623172454987</v>
      </c>
      <c r="P84" s="114">
        <f t="shared" si="209"/>
        <v>0.46616314790283686</v>
      </c>
      <c r="Q84" s="114">
        <f t="shared" si="209"/>
        <v>0.45642995862534819</v>
      </c>
      <c r="R84" s="114">
        <f t="shared" si="209"/>
        <v>0.55391269414432609</v>
      </c>
      <c r="S84" s="114">
        <f t="shared" si="209"/>
        <v>0.44976205744372066</v>
      </c>
      <c r="T84" s="114">
        <f t="shared" si="209"/>
        <v>0.44319097502014504</v>
      </c>
      <c r="U84" s="114">
        <f t="shared" si="209"/>
        <v>0.38244429957433757</v>
      </c>
      <c r="V84" s="114">
        <f t="shared" si="209"/>
        <v>0.5068388752958165</v>
      </c>
      <c r="W84" s="114">
        <f t="shared" si="209"/>
        <v>0.40411184813281048</v>
      </c>
      <c r="X84" s="114">
        <f t="shared" ref="X84:AC84" si="210">X42/X38</f>
        <v>0.35250053890924771</v>
      </c>
      <c r="Y84" s="114">
        <f t="shared" si="210"/>
        <v>-1.3878309335810497</v>
      </c>
      <c r="Z84" s="114">
        <f t="shared" si="210"/>
        <v>0.65632641654440016</v>
      </c>
      <c r="AA84" s="114">
        <f t="shared" si="210"/>
        <v>0.4279592929833958</v>
      </c>
      <c r="AB84" s="115">
        <f t="shared" si="210"/>
        <v>0.40427664550618109</v>
      </c>
      <c r="AC84" s="115">
        <f t="shared" si="210"/>
        <v>1.3875106928999144</v>
      </c>
      <c r="AD84" s="115">
        <f t="shared" ref="AD84:AE84" si="211">AD42/AD38</f>
        <v>-1.1089476124246638</v>
      </c>
      <c r="AE84" s="115">
        <f t="shared" si="211"/>
        <v>-0.1926541232986389</v>
      </c>
      <c r="AF84" s="116">
        <f t="shared" ref="AF84:AG84" si="212">AF42/AF38</f>
        <v>2.662837162837163</v>
      </c>
      <c r="AG84" s="116">
        <f t="shared" si="212"/>
        <v>0.42522775052557815</v>
      </c>
      <c r="AH84" s="116">
        <f t="shared" ref="AH84:AI84" si="213">AH42/AH38</f>
        <v>-0.25883568951720459</v>
      </c>
      <c r="AI84" s="116">
        <f t="shared" si="213"/>
        <v>-1.3662475266483691E-2</v>
      </c>
      <c r="AJ84" s="116">
        <f t="shared" ref="AJ84:AK84" si="214">AJ42/AJ38</f>
        <v>-0.48637104986905616</v>
      </c>
      <c r="AK84" s="116">
        <f t="shared" si="214"/>
        <v>-3.998993963782696E-2</v>
      </c>
      <c r="AL84" s="116">
        <f t="shared" ref="AL84:AM84" si="215">AL42/AL38</f>
        <v>-2.9589718489295584E-2</v>
      </c>
      <c r="AM84" s="116">
        <f t="shared" si="215"/>
        <v>-2.006326752430502</v>
      </c>
      <c r="AN84" s="116">
        <f t="shared" ref="AN84" si="216">AN42/AN38</f>
        <v>-0.13468807935858235</v>
      </c>
      <c r="AO84" s="116">
        <f t="shared" ref="AO84" si="217">AO42/AO38</f>
        <v>0.31953549633344347</v>
      </c>
      <c r="AP84" s="116">
        <f t="shared" ref="AP84:AQ84" si="218">AP42/AP38</f>
        <v>0.40959513486119714</v>
      </c>
      <c r="AQ84" s="116">
        <f t="shared" si="218"/>
        <v>0.24332265839083494</v>
      </c>
      <c r="AR84" s="116">
        <f t="shared" ref="AR84:AS84" si="219">AR42/AR38</f>
        <v>0.29990535680484576</v>
      </c>
      <c r="AS84" s="116">
        <f t="shared" si="219"/>
        <v>0.15416534307496824</v>
      </c>
      <c r="AT84" s="116">
        <f t="shared" ref="AT84:AU84" si="220">AT42/AT38</f>
        <v>0.35411040895298013</v>
      </c>
      <c r="AU84" s="116">
        <f t="shared" si="220"/>
        <v>0.18645816238013738</v>
      </c>
      <c r="AV84" s="116">
        <f t="shared" ref="AV84:AW84" si="221">AV42/AV38</f>
        <v>0.17648334372374164</v>
      </c>
      <c r="AW84" s="116">
        <f t="shared" si="221"/>
        <v>0.15251296370163542</v>
      </c>
      <c r="AX84" s="116">
        <f t="shared" ref="AX84:AY84" si="222">AX42/AX38</f>
        <v>0.50321118247072161</v>
      </c>
      <c r="AY84" s="116">
        <f t="shared" si="222"/>
        <v>0.44607457420615781</v>
      </c>
      <c r="AZ84" s="116">
        <f t="shared" ref="AZ84:BA84" si="223">AZ42/AZ38</f>
        <v>0.18269886087041184</v>
      </c>
      <c r="BA84" s="116">
        <f t="shared" si="223"/>
        <v>0.25536357091432688</v>
      </c>
      <c r="BB84" s="116">
        <f t="shared" ref="BB84:BC84" si="224">BB42/BB38</f>
        <v>0.13083100842609449</v>
      </c>
      <c r="BC84" s="116">
        <f t="shared" si="224"/>
        <v>0.14397870247905856</v>
      </c>
      <c r="BD84" s="2"/>
      <c r="BE84" s="2"/>
      <c r="BG84" s="61"/>
    </row>
    <row r="85" spans="1:59">
      <c r="A85" s="2"/>
      <c r="B85" s="2"/>
      <c r="C85" s="2"/>
      <c r="D85" s="2"/>
      <c r="E85" s="85"/>
      <c r="F85" s="85"/>
      <c r="G85" s="85"/>
      <c r="H85" s="85"/>
      <c r="I85" s="85"/>
      <c r="J85" s="85"/>
      <c r="K85" s="85"/>
      <c r="L85" s="85"/>
      <c r="M85" s="85"/>
      <c r="N85" s="85"/>
      <c r="O85" s="85"/>
      <c r="P85" s="85"/>
      <c r="Q85" s="85"/>
      <c r="R85" s="85"/>
      <c r="S85" s="85"/>
      <c r="T85" s="85"/>
      <c r="U85" s="85"/>
      <c r="V85" s="85"/>
      <c r="W85" s="85"/>
      <c r="X85" s="85"/>
      <c r="Y85" s="85"/>
      <c r="Z85" s="85"/>
      <c r="AA85" s="85"/>
      <c r="AB85" s="85"/>
      <c r="AC85" s="85"/>
      <c r="AD85" s="85"/>
      <c r="AE85" s="85"/>
      <c r="AF85" s="111"/>
      <c r="AG85" s="111"/>
      <c r="AH85" s="111"/>
      <c r="AI85" s="111"/>
      <c r="AJ85" s="111"/>
      <c r="AK85" s="111"/>
      <c r="AL85" s="111"/>
      <c r="AM85" s="111"/>
      <c r="AN85" s="111"/>
      <c r="AO85" s="111"/>
      <c r="AP85" s="111"/>
      <c r="AQ85" s="111"/>
      <c r="AR85" s="111"/>
      <c r="AS85" s="111"/>
      <c r="AT85" s="111"/>
      <c r="AU85" s="111"/>
      <c r="AV85" s="111"/>
      <c r="AW85" s="111"/>
      <c r="AX85" s="111"/>
      <c r="AY85" s="111"/>
      <c r="AZ85" s="111"/>
      <c r="BA85" s="111"/>
      <c r="BB85" s="111"/>
      <c r="BC85" s="111"/>
      <c r="BD85" s="2"/>
      <c r="BE85" s="2"/>
      <c r="BG85" s="61"/>
    </row>
    <row r="86" spans="1:59">
      <c r="A86" s="2"/>
      <c r="B86" s="13" t="s">
        <v>399</v>
      </c>
      <c r="C86" s="13"/>
      <c r="D86" s="13"/>
      <c r="E86" s="143"/>
      <c r="F86" s="143"/>
      <c r="G86" s="143"/>
      <c r="H86" s="143"/>
      <c r="I86" s="137">
        <f>I49/E49-1</f>
        <v>-0.49435800566684895</v>
      </c>
      <c r="J86" s="137">
        <f t="shared" ref="J86:Z86" si="225">J49/F49-1</f>
        <v>-9.6198235633692009E-2</v>
      </c>
      <c r="K86" s="137">
        <f t="shared" si="225"/>
        <v>-0.2900411880199667</v>
      </c>
      <c r="L86" s="137">
        <f t="shared" si="225"/>
        <v>1.1508635882974976</v>
      </c>
      <c r="M86" s="137">
        <f t="shared" si="225"/>
        <v>0.89068029885961453</v>
      </c>
      <c r="N86" s="137">
        <f t="shared" si="225"/>
        <v>0.6091390275460109</v>
      </c>
      <c r="O86" s="137">
        <f t="shared" si="225"/>
        <v>1.7014448647391633</v>
      </c>
      <c r="P86" s="137">
        <f t="shared" si="225"/>
        <v>1.3541461815798099</v>
      </c>
      <c r="Q86" s="137">
        <f t="shared" si="225"/>
        <v>0.30542845257903495</v>
      </c>
      <c r="R86" s="140">
        <f t="shared" si="225"/>
        <v>0.40216508795669825</v>
      </c>
      <c r="S86" s="141">
        <f t="shared" si="225"/>
        <v>0.10085309427414701</v>
      </c>
      <c r="T86" s="141">
        <f t="shared" si="225"/>
        <v>-0.22861120779672817</v>
      </c>
      <c r="U86" s="141">
        <f t="shared" si="225"/>
        <v>5.0983828566876443E-2</v>
      </c>
      <c r="V86" s="141">
        <f t="shared" si="225"/>
        <v>-5.9383645370906568E-2</v>
      </c>
      <c r="W86" s="141">
        <f t="shared" si="225"/>
        <v>-4.0717147172785184E-2</v>
      </c>
      <c r="X86" s="141">
        <f t="shared" si="225"/>
        <v>-0.54543813735222457</v>
      </c>
      <c r="Y86" s="141">
        <f t="shared" si="225"/>
        <v>-0.71697112104904115</v>
      </c>
      <c r="Z86" s="141">
        <f t="shared" si="225"/>
        <v>-0.74876880984952121</v>
      </c>
      <c r="AA86" s="141">
        <f t="shared" ref="AA86:AG86" si="226">AA49/W49-1</f>
        <v>-0.76518107756555076</v>
      </c>
      <c r="AB86" s="141">
        <f t="shared" si="226"/>
        <v>-0.39289259479849115</v>
      </c>
      <c r="AC86" s="141">
        <f t="shared" si="226"/>
        <v>-0.77798607391537222</v>
      </c>
      <c r="AD86" s="141">
        <f t="shared" si="226"/>
        <v>-0.7350939286686633</v>
      </c>
      <c r="AE86" s="141">
        <f t="shared" si="226"/>
        <v>-0.6536443148688047</v>
      </c>
      <c r="AF86" s="142">
        <f t="shared" si="226"/>
        <v>-0.71811641595814257</v>
      </c>
      <c r="AG86" s="142">
        <f t="shared" si="226"/>
        <v>0.29312424607961396</v>
      </c>
      <c r="AH86" s="243">
        <f t="shared" ref="AH86:AN86" si="227">AH49/AD49-1</f>
        <v>-32.459403905447076</v>
      </c>
      <c r="AI86" s="243">
        <f t="shared" si="227"/>
        <v>-194.03872053872053</v>
      </c>
      <c r="AJ86" s="243">
        <f t="shared" si="227"/>
        <v>-14.251160092807424</v>
      </c>
      <c r="AK86" s="243">
        <f t="shared" si="227"/>
        <v>-49.852611940298509</v>
      </c>
      <c r="AL86" s="243">
        <f t="shared" si="227"/>
        <v>4.2051907988521586</v>
      </c>
      <c r="AM86" s="243">
        <f t="shared" si="227"/>
        <v>-0.96671996839865948</v>
      </c>
      <c r="AN86" s="243">
        <f t="shared" si="227"/>
        <v>-1.7472970015320639</v>
      </c>
      <c r="AO86" s="243">
        <f t="shared" ref="AO86:AS86" si="228">AO49/AK49-1</f>
        <v>-1.1449656316211576</v>
      </c>
      <c r="AP86" s="243">
        <f t="shared" si="228"/>
        <v>-1.0177931598431504</v>
      </c>
      <c r="AQ86" s="243">
        <f t="shared" si="228"/>
        <v>-2.4858277100691635</v>
      </c>
      <c r="AR86" s="243">
        <f t="shared" si="228"/>
        <v>-2.8116213683224034E-2</v>
      </c>
      <c r="AS86" s="243">
        <f t="shared" si="228"/>
        <v>1.6446781300316982</v>
      </c>
      <c r="AT86" s="243">
        <f t="shared" ref="AT86:BC86" si="229">AT49/AP49-1</f>
        <v>4.6680776014109346</v>
      </c>
      <c r="AU86" s="243">
        <f t="shared" si="229"/>
        <v>0.89171075837742508</v>
      </c>
      <c r="AV86" s="243">
        <f t="shared" si="229"/>
        <v>0.91441658630665379</v>
      </c>
      <c r="AW86" s="243">
        <f t="shared" si="229"/>
        <v>0.49696184878972005</v>
      </c>
      <c r="AX86" s="243">
        <f t="shared" si="229"/>
        <v>3.4849710622939511E-3</v>
      </c>
      <c r="AY86" s="243">
        <f t="shared" si="229"/>
        <v>-0.37502330785008386</v>
      </c>
      <c r="AZ86" s="243">
        <f t="shared" si="229"/>
        <v>0.53771565294043566</v>
      </c>
      <c r="BA86" s="243">
        <f t="shared" si="229"/>
        <v>-0.31075326058025021</v>
      </c>
      <c r="BB86" s="243">
        <f t="shared" si="229"/>
        <v>1.5797829457364343</v>
      </c>
      <c r="BC86" s="243">
        <f t="shared" si="229"/>
        <v>1.6800924889982847</v>
      </c>
      <c r="BD86" s="13"/>
      <c r="BE86" s="144"/>
      <c r="BG86" s="61"/>
    </row>
    <row r="87" spans="1:59">
      <c r="A87" s="2"/>
      <c r="B87" s="2" t="s">
        <v>400</v>
      </c>
      <c r="C87" s="2"/>
      <c r="D87" s="2"/>
      <c r="E87" s="114">
        <f t="shared" ref="E87:W87" si="230">E49/E7</f>
        <v>5.3677396631587937E-2</v>
      </c>
      <c r="F87" s="114">
        <f t="shared" si="230"/>
        <v>3.9365971314798652E-2</v>
      </c>
      <c r="G87" s="114">
        <f t="shared" si="230"/>
        <v>3.5556870285460729E-2</v>
      </c>
      <c r="H87" s="114">
        <f t="shared" si="230"/>
        <v>1.4007317181552013E-2</v>
      </c>
      <c r="I87" s="114">
        <f t="shared" si="230"/>
        <v>2.4857774041563214E-2</v>
      </c>
      <c r="J87" s="114">
        <f t="shared" si="230"/>
        <v>3.39356981600532E-2</v>
      </c>
      <c r="K87" s="114">
        <f t="shared" si="230"/>
        <v>2.3990399347789418E-2</v>
      </c>
      <c r="L87" s="114">
        <f t="shared" si="230"/>
        <v>2.7785999535533932E-2</v>
      </c>
      <c r="M87" s="114">
        <f t="shared" si="230"/>
        <v>4.3197592147525887E-2</v>
      </c>
      <c r="N87" s="114">
        <f t="shared" si="230"/>
        <v>4.8184129881984741E-2</v>
      </c>
      <c r="O87" s="114">
        <f t="shared" si="230"/>
        <v>6.0502937226890388E-2</v>
      </c>
      <c r="P87" s="114">
        <f t="shared" si="230"/>
        <v>6.1843198539699759E-2</v>
      </c>
      <c r="Q87" s="114">
        <f t="shared" si="230"/>
        <v>5.448397989565882E-2</v>
      </c>
      <c r="R87" s="115">
        <f t="shared" si="230"/>
        <v>6.563545150501672E-2</v>
      </c>
      <c r="S87" s="115">
        <f t="shared" si="230"/>
        <v>6.3839777963181132E-2</v>
      </c>
      <c r="T87" s="115">
        <f t="shared" si="230"/>
        <v>4.5972767327430983E-2</v>
      </c>
      <c r="U87" s="115">
        <f t="shared" si="230"/>
        <v>5.2807698003850601E-2</v>
      </c>
      <c r="V87" s="115">
        <f t="shared" si="230"/>
        <v>5.7169894693210391E-2</v>
      </c>
      <c r="W87" s="115">
        <f t="shared" si="230"/>
        <v>5.9205966398475973E-2</v>
      </c>
      <c r="X87" s="115">
        <f t="shared" ref="X87:AC87" si="231">X49/X7</f>
        <v>2.1558900697229485E-2</v>
      </c>
      <c r="Y87" s="115">
        <f t="shared" si="231"/>
        <v>1.6987707341928792E-2</v>
      </c>
      <c r="Z87" s="115">
        <f t="shared" si="231"/>
        <v>1.6690371568658637E-2</v>
      </c>
      <c r="AA87" s="115">
        <f t="shared" si="231"/>
        <v>1.5710739183407995E-2</v>
      </c>
      <c r="AB87" s="115">
        <f t="shared" si="231"/>
        <v>1.4998871896489145E-2</v>
      </c>
      <c r="AC87" s="115">
        <f t="shared" si="231"/>
        <v>4.2060721678775824E-3</v>
      </c>
      <c r="AD87" s="115">
        <f t="shared" ref="AD87:AE87" si="232">AD49/AD7</f>
        <v>4.8897175220740845E-3</v>
      </c>
      <c r="AE87" s="115">
        <f t="shared" si="232"/>
        <v>5.8762137002834232E-3</v>
      </c>
      <c r="AF87" s="116">
        <f t="shared" ref="AF87:AG87" si="233">AF49/AF7</f>
        <v>4.2465982875666301E-3</v>
      </c>
      <c r="AG87" s="116">
        <f t="shared" si="233"/>
        <v>5.1895743774447159E-3</v>
      </c>
      <c r="AH87" s="116">
        <f t="shared" ref="AH87:AI87" si="234">AH49/AH7</f>
        <v>-0.14553736140430953</v>
      </c>
      <c r="AI87" s="116">
        <f t="shared" si="234"/>
        <v>-1.0677487091382305</v>
      </c>
      <c r="AJ87" s="116">
        <f t="shared" ref="AJ87:AK87" si="235">AJ49/AJ7</f>
        <v>-5.1179285439050835E-2</v>
      </c>
      <c r="AK87" s="116">
        <f t="shared" si="235"/>
        <v>-0.21968664135746796</v>
      </c>
      <c r="AL87" s="116">
        <f t="shared" ref="AL87:AM87" si="236">AL49/AL7</f>
        <v>-0.67236970309075861</v>
      </c>
      <c r="AM87" s="116">
        <f t="shared" si="236"/>
        <v>-3.0330100334860943E-2</v>
      </c>
      <c r="AN87" s="116">
        <f t="shared" ref="AN87" si="237">AN49/AN7</f>
        <v>3.2130086197161893E-2</v>
      </c>
      <c r="AO87" s="116">
        <f t="shared" ref="AO87" si="238">AO49/AO7</f>
        <v>2.9390199878209518E-2</v>
      </c>
      <c r="AP87" s="116">
        <f t="shared" ref="AP87:AQ87" si="239">AP49/AP7</f>
        <v>1.0475402203714242E-2</v>
      </c>
      <c r="AQ87" s="116">
        <f t="shared" si="239"/>
        <v>3.9880148548278191E-2</v>
      </c>
      <c r="AR87" s="116">
        <f t="shared" ref="AR87:AS87" si="240">AR49/AR7</f>
        <v>2.7594740501002871E-2</v>
      </c>
      <c r="AS87" s="116">
        <f t="shared" si="240"/>
        <v>6.3701461662684936E-2</v>
      </c>
      <c r="AT87" s="116">
        <f t="shared" ref="AT87:AU87" si="241">AT49/AT7</f>
        <v>4.8698661688406149E-2</v>
      </c>
      <c r="AU87" s="116">
        <f t="shared" si="241"/>
        <v>6.1770236144744833E-2</v>
      </c>
      <c r="AV87" s="116">
        <f t="shared" ref="AV87" si="242">AV49/AV7</f>
        <v>4.4040818590205755E-2</v>
      </c>
      <c r="AW87" s="116">
        <f>AW49/AW7</f>
        <v>8.2812814274575069E-2</v>
      </c>
      <c r="AX87" s="116">
        <f>AX49/AX7</f>
        <v>4.2671938139582886E-2</v>
      </c>
      <c r="AY87" s="116">
        <f t="shared" ref="AY87:AZ87" si="243">AY49/AY7</f>
        <v>3.5872339742389132E-2</v>
      </c>
      <c r="AZ87" s="116">
        <f t="shared" si="243"/>
        <v>6.3699650228355761E-2</v>
      </c>
      <c r="BA87" s="116">
        <f t="shared" ref="BA87:BB87" si="244">BA49/BA7</f>
        <v>5.4636565038506169E-2</v>
      </c>
      <c r="BB87" s="116">
        <f t="shared" si="244"/>
        <v>0.10702111402396199</v>
      </c>
      <c r="BC87" s="116">
        <f t="shared" ref="BC87" si="245">BC49/BC7</f>
        <v>8.6110046012269945E-2</v>
      </c>
      <c r="BD87" s="2"/>
      <c r="BE87" s="2"/>
      <c r="BG87" s="61"/>
    </row>
    <row r="88" spans="1:59">
      <c r="B88" s="13" t="s">
        <v>844</v>
      </c>
      <c r="C88" s="13"/>
      <c r="D88" s="13"/>
      <c r="AE88" s="36"/>
      <c r="AS88" s="116"/>
      <c r="AT88" s="116"/>
      <c r="AU88" s="116">
        <f t="shared" ref="AU88:AW88" si="246">AU51/AQ51-1</f>
        <v>4.2080602087885408</v>
      </c>
      <c r="AV88" s="116">
        <f t="shared" si="246"/>
        <v>1.8589516333248923</v>
      </c>
      <c r="AW88" s="116">
        <f t="shared" si="246"/>
        <v>1.7283950617283952</v>
      </c>
      <c r="AX88" s="116">
        <f>AX51/AT51-1</f>
        <v>2.1295040139398842</v>
      </c>
      <c r="AY88" s="279">
        <v>0.442</v>
      </c>
      <c r="AZ88" s="279"/>
      <c r="BA88" s="279">
        <f>2952/2592-1</f>
        <v>0.13888888888888884</v>
      </c>
      <c r="BB88" s="279">
        <f>29251/29020-1</f>
        <v>7.9600275671949383E-3</v>
      </c>
      <c r="BC88" s="279">
        <f>39115/29598-1</f>
        <v>0.32154199608081635</v>
      </c>
      <c r="BG88" s="61"/>
    </row>
    <row r="89" spans="1:59">
      <c r="W89" s="123"/>
      <c r="X89" s="123"/>
      <c r="Y89" s="123"/>
      <c r="Z89" s="123"/>
      <c r="AA89" s="123"/>
      <c r="AB89" s="123"/>
      <c r="AC89" s="124"/>
      <c r="AD89" s="124"/>
      <c r="AE89" s="124"/>
      <c r="AF89" s="125"/>
      <c r="AG89" s="125"/>
      <c r="AH89" s="125"/>
      <c r="AI89" s="125"/>
      <c r="AJ89" s="125"/>
      <c r="AK89" s="125"/>
      <c r="AL89" s="125"/>
      <c r="AM89" s="125"/>
      <c r="AN89" s="125"/>
      <c r="AO89" s="125"/>
      <c r="AP89" s="125"/>
      <c r="AQ89" s="125"/>
      <c r="AR89" s="125"/>
      <c r="AS89" s="125"/>
      <c r="AT89" s="125"/>
      <c r="AU89" s="125"/>
      <c r="AV89" s="125"/>
      <c r="AW89" s="125"/>
      <c r="AX89" s="125"/>
      <c r="AY89" s="125"/>
      <c r="AZ89" s="125"/>
      <c r="BA89" s="125"/>
      <c r="BB89" s="125"/>
      <c r="BC89" s="125"/>
      <c r="BG89" s="38"/>
    </row>
    <row r="90" spans="1:59">
      <c r="AE90" s="36"/>
      <c r="BG90" s="38"/>
    </row>
    <row r="91" spans="1:59">
      <c r="BG91" s="38"/>
    </row>
    <row r="92" spans="1:59">
      <c r="BG92" s="38"/>
    </row>
    <row r="93" spans="1:59">
      <c r="BG93" s="38"/>
    </row>
    <row r="94" spans="1:59">
      <c r="BG94" s="38"/>
    </row>
    <row r="95" spans="1:59">
      <c r="BG95" s="38"/>
    </row>
    <row r="96" spans="1:59">
      <c r="BG96" s="38"/>
    </row>
  </sheetData>
  <phoneticPr fontId="76" type="noConversion"/>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121"/>
  <sheetViews>
    <sheetView showGridLines="0" zoomScale="70" zoomScaleNormal="70" workbookViewId="0">
      <pane xSplit="2" ySplit="1" topLeftCell="AS2" activePane="bottomRight" state="frozen"/>
      <selection activeCell="BA80" sqref="BA80"/>
      <selection pane="topRight" activeCell="BA80" sqref="BA80"/>
      <selection pane="bottomLeft" activeCell="BA80" sqref="BA80"/>
      <selection pane="bottomRight" activeCell="BB16" sqref="BB16"/>
    </sheetView>
  </sheetViews>
  <sheetFormatPr defaultColWidth="9.234375" defaultRowHeight="15.35"/>
  <cols>
    <col min="1" max="1" width="1.76171875" style="6" customWidth="1"/>
    <col min="2" max="2" width="45.76171875" style="6" bestFit="1" customWidth="1"/>
    <col min="3" max="4" width="45.76171875" style="6" customWidth="1"/>
    <col min="5" max="12" width="15.234375" style="6" bestFit="1" customWidth="1"/>
    <col min="13" max="13" width="14.76171875" style="6" bestFit="1" customWidth="1"/>
    <col min="14" max="20" width="15.234375" style="6" bestFit="1" customWidth="1"/>
    <col min="21" max="25" width="15.76171875" style="6" bestFit="1" customWidth="1"/>
    <col min="26" max="27" width="15.234375" style="6" bestFit="1" customWidth="1"/>
    <col min="28" max="28" width="15.76171875" style="6" bestFit="1" customWidth="1"/>
    <col min="29" max="30" width="15.234375" style="6" bestFit="1" customWidth="1"/>
    <col min="31" max="32" width="15.76171875" style="21" bestFit="1" customWidth="1"/>
    <col min="33" max="33" width="15.234375" style="21" bestFit="1" customWidth="1"/>
    <col min="34" max="44" width="15.76171875" style="21" bestFit="1" customWidth="1"/>
    <col min="45" max="45" width="16.234375" style="21" customWidth="1"/>
    <col min="46" max="55" width="16.234375" style="21" bestFit="1" customWidth="1"/>
    <col min="56" max="56" width="5" style="6" customWidth="1"/>
    <col min="57" max="57" width="68.234375" style="6" bestFit="1" customWidth="1"/>
    <col min="58" max="16384" width="9.234375" style="6"/>
  </cols>
  <sheetData>
    <row r="1" spans="1:57" s="30" customFormat="1">
      <c r="A1" s="508" t="s">
        <v>208</v>
      </c>
      <c r="B1" s="508"/>
      <c r="C1" s="508"/>
      <c r="D1" s="508"/>
      <c r="E1" s="512" t="str">
        <f>'Reported Group Profit and Loss'!E1</f>
        <v>4Q12</v>
      </c>
      <c r="F1" s="512" t="str">
        <f>'Reported Group Profit and Loss'!F1</f>
        <v>1Q13</v>
      </c>
      <c r="G1" s="512" t="str">
        <f>'Reported Group Profit and Loss'!G1</f>
        <v>2Q13</v>
      </c>
      <c r="H1" s="512" t="str">
        <f>'Reported Group Profit and Loss'!H1</f>
        <v>3Q13</v>
      </c>
      <c r="I1" s="512" t="str">
        <f>'Reported Group Profit and Loss'!I1</f>
        <v>4Q13</v>
      </c>
      <c r="J1" s="512" t="str">
        <f>'Reported Group Profit and Loss'!J1</f>
        <v>1Q14</v>
      </c>
      <c r="K1" s="512" t="str">
        <f>'Reported Group Profit and Loss'!K1</f>
        <v>2Q14</v>
      </c>
      <c r="L1" s="512" t="str">
        <f>'Reported Group Profit and Loss'!L1</f>
        <v>3Q14</v>
      </c>
      <c r="M1" s="512" t="str">
        <f>'Reported Group Profit and Loss'!M1</f>
        <v>4Q14</v>
      </c>
      <c r="N1" s="512" t="str">
        <f>'Reported Group Profit and Loss'!N1</f>
        <v>1Q15</v>
      </c>
      <c r="O1" s="512" t="str">
        <f>'Reported Group Profit and Loss'!O1</f>
        <v>2Q15</v>
      </c>
      <c r="P1" s="512" t="str">
        <f>'Reported Group Profit and Loss'!P1</f>
        <v>3Q15</v>
      </c>
      <c r="Q1" s="512" t="str">
        <f>'Reported Group Profit and Loss'!Q1</f>
        <v>4Q15</v>
      </c>
      <c r="R1" s="512" t="str">
        <f>'Reported Group Profit and Loss'!R1</f>
        <v>1Q16</v>
      </c>
      <c r="S1" s="512" t="str">
        <f>'Reported Group Profit and Loss'!S1</f>
        <v>2Q16</v>
      </c>
      <c r="T1" s="512" t="str">
        <f>'Reported Group Profit and Loss'!T1</f>
        <v>3Q16</v>
      </c>
      <c r="U1" s="512" t="str">
        <f>'Reported Group Profit and Loss'!U1</f>
        <v>4Q16</v>
      </c>
      <c r="V1" s="512" t="str">
        <f>'Reported Group Profit and Loss'!V1</f>
        <v>1Q17</v>
      </c>
      <c r="W1" s="512" t="str">
        <f>'Reported Group Profit and Loss'!W1</f>
        <v>2Q17</v>
      </c>
      <c r="X1" s="512" t="str">
        <f>'Reported Group Profit and Loss'!X1</f>
        <v>3Q17</v>
      </c>
      <c r="Y1" s="512" t="str">
        <f>'Reported Group Profit and Loss'!Y1</f>
        <v>4Q17</v>
      </c>
      <c r="Z1" s="512" t="str">
        <f>'Reported Group Profit and Loss'!Z1</f>
        <v>1Q18</v>
      </c>
      <c r="AA1" s="512" t="str">
        <f>'Reported Group Profit and Loss'!AA1</f>
        <v>2Q18</v>
      </c>
      <c r="AB1" s="512" t="str">
        <f>'Reported Group Profit and Loss'!AB1</f>
        <v>3Q18</v>
      </c>
      <c r="AC1" s="512" t="str">
        <f>'Reported Group Profit and Loss'!AC1</f>
        <v>4Q18</v>
      </c>
      <c r="AD1" s="512" t="str">
        <f>'Reported Group Profit and Loss'!AD1</f>
        <v>1Q19</v>
      </c>
      <c r="AE1" s="512" t="str">
        <f>'Reported Group Profit and Loss'!AE1</f>
        <v>2Q19</v>
      </c>
      <c r="AF1" s="512" t="str">
        <f>'Reported Group Profit and Loss'!AF1</f>
        <v>3Q19</v>
      </c>
      <c r="AG1" s="512" t="str">
        <f>'Reported Group Profit and Loss'!AG1</f>
        <v>4Q19</v>
      </c>
      <c r="AH1" s="512" t="str">
        <f>'Reported Group Profit and Loss'!AH1</f>
        <v>1Q20</v>
      </c>
      <c r="AI1" s="512" t="str">
        <f>'Reported Group Profit and Loss'!AI1</f>
        <v>2Q20</v>
      </c>
      <c r="AJ1" s="512" t="str">
        <f>'Reported Group Profit and Loss'!AJ1</f>
        <v>3Q20</v>
      </c>
      <c r="AK1" s="512" t="str">
        <f>'Reported Group Profit and Loss'!AK1</f>
        <v>4Q20</v>
      </c>
      <c r="AL1" s="512" t="str">
        <f>'Reported Group Profit and Loss'!AL1</f>
        <v>1Q21</v>
      </c>
      <c r="AM1" s="512" t="str">
        <f>'Reported Group Profit and Loss'!AM1</f>
        <v>2Q21</v>
      </c>
      <c r="AN1" s="512" t="str">
        <f>'Reported Group Profit and Loss'!AN1</f>
        <v>3Q21</v>
      </c>
      <c r="AO1" s="512" t="str">
        <f>'Reported Group Profit and Loss'!AO1</f>
        <v>4Q21</v>
      </c>
      <c r="AP1" s="512" t="str">
        <f>'Reported Group Profit and Loss'!AP1</f>
        <v>1Q22</v>
      </c>
      <c r="AQ1" s="512" t="str">
        <f>'Reported Group Profit and Loss'!AQ1</f>
        <v>2Q22</v>
      </c>
      <c r="AR1" s="512" t="str">
        <f>'Reported Group Profit and Loss'!AR1</f>
        <v>3Q22</v>
      </c>
      <c r="AS1" s="512" t="str">
        <f>'Reported Group Profit and Loss'!AS1</f>
        <v>4Q22</v>
      </c>
      <c r="AT1" s="512" t="str">
        <f>'Reported Group Profit and Loss'!AT1</f>
        <v>1Q23</v>
      </c>
      <c r="AU1" s="512" t="str">
        <f>'Reported Group Profit and Loss'!AU1</f>
        <v>2Q23</v>
      </c>
      <c r="AV1" s="512" t="str">
        <f>'Reported Group Profit and Loss'!AV1</f>
        <v>3Q23</v>
      </c>
      <c r="AW1" s="512" t="str">
        <f>'Reported Group Profit and Loss'!AW1</f>
        <v>4Q23</v>
      </c>
      <c r="AX1" s="512" t="str">
        <f>'Reported Group Profit and Loss'!AX1</f>
        <v>1Q24</v>
      </c>
      <c r="AY1" s="512" t="str">
        <f>'Reported Group Profit and Loss'!AY1</f>
        <v>2Q24</v>
      </c>
      <c r="AZ1" s="512" t="str">
        <f>'Reported Group Profit and Loss'!AZ1</f>
        <v>3Q24</v>
      </c>
      <c r="BA1" s="512" t="str">
        <f>'Reported Group Profit and Loss'!BA1</f>
        <v>4Q24</v>
      </c>
      <c r="BB1" s="512" t="str">
        <f>'Reported Group Profit and Loss'!BB1</f>
        <v>1Q25</v>
      </c>
      <c r="BC1" s="512" t="str">
        <f>'Reported Group Profit and Loss'!BC1</f>
        <v>2Q25</v>
      </c>
      <c r="BD1" s="508"/>
      <c r="BE1" s="508" t="s">
        <v>209</v>
      </c>
    </row>
    <row r="2" spans="1:57" s="30" customFormat="1">
      <c r="A2" s="13"/>
      <c r="B2" s="13"/>
      <c r="C2" s="13"/>
      <c r="D2" s="1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3"/>
      <c r="BE2" s="13"/>
    </row>
    <row r="3" spans="1:57">
      <c r="A3" s="2"/>
      <c r="B3" s="77" t="s">
        <v>210</v>
      </c>
      <c r="C3" s="77"/>
      <c r="D3" s="77"/>
      <c r="E3" s="78">
        <f>'Reported Group Profit and Loss'!E3</f>
        <v>40999</v>
      </c>
      <c r="F3" s="78">
        <f>'Reported Group Profit and Loss'!F3</f>
        <v>41090</v>
      </c>
      <c r="G3" s="78">
        <f>'Reported Group Profit and Loss'!G3</f>
        <v>41182</v>
      </c>
      <c r="H3" s="78">
        <f>'Reported Group Profit and Loss'!H3</f>
        <v>41274</v>
      </c>
      <c r="I3" s="78">
        <f>'Reported Group Profit and Loss'!I3</f>
        <v>41364</v>
      </c>
      <c r="J3" s="78">
        <f>'Reported Group Profit and Loss'!J3</f>
        <v>41455</v>
      </c>
      <c r="K3" s="78">
        <f>'Reported Group Profit and Loss'!K3</f>
        <v>41547</v>
      </c>
      <c r="L3" s="78">
        <f>'Reported Group Profit and Loss'!L3</f>
        <v>41639</v>
      </c>
      <c r="M3" s="78">
        <f>'Reported Group Profit and Loss'!M3</f>
        <v>41729</v>
      </c>
      <c r="N3" s="78">
        <f>'Reported Group Profit and Loss'!N3</f>
        <v>41820</v>
      </c>
      <c r="O3" s="78">
        <f>'Reported Group Profit and Loss'!O3</f>
        <v>41912</v>
      </c>
      <c r="P3" s="78">
        <f>'Reported Group Profit and Loss'!P3</f>
        <v>42004</v>
      </c>
      <c r="Q3" s="78">
        <f>'Reported Group Profit and Loss'!Q3</f>
        <v>42094</v>
      </c>
      <c r="R3" s="78">
        <f>'Reported Group Profit and Loss'!R3</f>
        <v>42185</v>
      </c>
      <c r="S3" s="78">
        <f>'Reported Group Profit and Loss'!S3</f>
        <v>42277</v>
      </c>
      <c r="T3" s="78">
        <f>'Reported Group Profit and Loss'!T3</f>
        <v>42369</v>
      </c>
      <c r="U3" s="78">
        <f>'Reported Group Profit and Loss'!U3</f>
        <v>42460</v>
      </c>
      <c r="V3" s="78">
        <f>'Reported Group Profit and Loss'!V3</f>
        <v>42551</v>
      </c>
      <c r="W3" s="78">
        <f>'Reported Group Profit and Loss'!W3</f>
        <v>42643</v>
      </c>
      <c r="X3" s="78">
        <f>'Reported Group Profit and Loss'!X3</f>
        <v>42735</v>
      </c>
      <c r="Y3" s="78">
        <f>'Reported Group Profit and Loss'!Y3</f>
        <v>42825</v>
      </c>
      <c r="Z3" s="78">
        <f>'Reported Group Profit and Loss'!Z3</f>
        <v>42916</v>
      </c>
      <c r="AA3" s="78">
        <f>'Reported Group Profit and Loss'!AA3</f>
        <v>43008</v>
      </c>
      <c r="AB3" s="78">
        <f>'Reported Group Profit and Loss'!AB3</f>
        <v>43100</v>
      </c>
      <c r="AC3" s="78">
        <f>'Reported Group Profit and Loss'!AC3</f>
        <v>43190</v>
      </c>
      <c r="AD3" s="78">
        <f>'Reported Group Profit and Loss'!AD3</f>
        <v>43281</v>
      </c>
      <c r="AE3" s="78">
        <f>'Reported Group Profit and Loss'!AE3</f>
        <v>43373</v>
      </c>
      <c r="AF3" s="78">
        <f>'Reported Group Profit and Loss'!AF3</f>
        <v>43465</v>
      </c>
      <c r="AG3" s="78">
        <f>'Reported Group Profit and Loss'!AG3</f>
        <v>43555</v>
      </c>
      <c r="AH3" s="78">
        <f>'Reported Group Profit and Loss'!AH3</f>
        <v>43646</v>
      </c>
      <c r="AI3" s="78">
        <f>'Reported Group Profit and Loss'!AI3</f>
        <v>43738</v>
      </c>
      <c r="AJ3" s="78">
        <f>'Reported Group Profit and Loss'!AJ3</f>
        <v>43830</v>
      </c>
      <c r="AK3" s="78">
        <f>'Reported Group Profit and Loss'!AK3</f>
        <v>43921</v>
      </c>
      <c r="AL3" s="78">
        <f>'Reported Group Profit and Loss'!AL3</f>
        <v>44012</v>
      </c>
      <c r="AM3" s="78">
        <f>'Reported Group Profit and Loss'!AM3</f>
        <v>44104</v>
      </c>
      <c r="AN3" s="78">
        <f>'Reported Group Profit and Loss'!AN3</f>
        <v>44196</v>
      </c>
      <c r="AO3" s="78">
        <f>'Reported Group Profit and Loss'!AO3</f>
        <v>44286</v>
      </c>
      <c r="AP3" s="78">
        <f>'Reported Group Profit and Loss'!AP3</f>
        <v>44377</v>
      </c>
      <c r="AQ3" s="78">
        <f>'Reported Group Profit and Loss'!AQ3</f>
        <v>44469</v>
      </c>
      <c r="AR3" s="78">
        <f>'Reported Group Profit and Loss'!AR3</f>
        <v>44561</v>
      </c>
      <c r="AS3" s="78">
        <f>'Reported Group Profit and Loss'!AS3</f>
        <v>44651</v>
      </c>
      <c r="AT3" s="78">
        <f>'Reported Group Profit and Loss'!AT3</f>
        <v>44742</v>
      </c>
      <c r="AU3" s="78">
        <f>'Reported Group Profit and Loss'!AU3</f>
        <v>44834</v>
      </c>
      <c r="AV3" s="78">
        <f>'Reported Group Profit and Loss'!AV3</f>
        <v>44926</v>
      </c>
      <c r="AW3" s="78">
        <f>'Reported Group Profit and Loss'!AW3</f>
        <v>45016</v>
      </c>
      <c r="AX3" s="78">
        <f>'Reported Group Profit and Loss'!AX3</f>
        <v>45107</v>
      </c>
      <c r="AY3" s="78">
        <f>'Reported Group Profit and Loss'!AY3</f>
        <v>45199</v>
      </c>
      <c r="AZ3" s="78">
        <f>'Reported Group Profit and Loss'!AZ3</f>
        <v>45291</v>
      </c>
      <c r="BA3" s="78">
        <f>'Reported Group Profit and Loss'!BA3</f>
        <v>45382</v>
      </c>
      <c r="BB3" s="78">
        <f>'Reported Group Profit and Loss'!BB3</f>
        <v>45473</v>
      </c>
      <c r="BC3" s="78">
        <f>'Reported Group Profit and Loss'!BC3</f>
        <v>45565</v>
      </c>
      <c r="BD3" s="79"/>
      <c r="BE3" s="2"/>
    </row>
    <row r="4" spans="1:57">
      <c r="A4" s="467"/>
      <c r="B4" s="468"/>
      <c r="C4" s="468"/>
      <c r="D4" s="468"/>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6"/>
      <c r="BE4" s="2"/>
    </row>
    <row r="5" spans="1:57">
      <c r="A5" s="2"/>
      <c r="B5" s="147" t="s">
        <v>236</v>
      </c>
      <c r="C5" s="147"/>
      <c r="D5" s="147"/>
      <c r="E5" s="148"/>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c r="AF5" s="148"/>
      <c r="AG5" s="148"/>
      <c r="AH5" s="148"/>
      <c r="AI5" s="148"/>
      <c r="AJ5" s="148"/>
      <c r="AK5" s="148"/>
      <c r="AL5" s="148"/>
      <c r="AM5" s="148"/>
      <c r="AN5" s="148"/>
      <c r="AO5" s="148"/>
      <c r="AP5" s="148"/>
      <c r="AQ5" s="148"/>
      <c r="AR5" s="148"/>
      <c r="AS5" s="148"/>
      <c r="AT5" s="148"/>
      <c r="AU5" s="148"/>
      <c r="AV5" s="148"/>
      <c r="AW5" s="148"/>
      <c r="AX5" s="148"/>
      <c r="AY5" s="148"/>
      <c r="AZ5" s="148"/>
      <c r="BA5" s="148"/>
      <c r="BB5" s="148"/>
      <c r="BC5" s="148"/>
      <c r="BD5" s="148"/>
      <c r="BE5" s="2"/>
    </row>
    <row r="6" spans="1:57">
      <c r="A6" s="2"/>
      <c r="B6" s="149" t="s">
        <v>237</v>
      </c>
      <c r="C6" s="149"/>
      <c r="D6" s="149"/>
      <c r="E6" s="251">
        <v>674931.56029100018</v>
      </c>
      <c r="F6" s="251">
        <v>694282.77031099994</v>
      </c>
      <c r="G6" s="251">
        <v>687485.32976600016</v>
      </c>
      <c r="H6" s="251">
        <v>687660.27471899986</v>
      </c>
      <c r="I6" s="251">
        <v>688430.03527700016</v>
      </c>
      <c r="J6" s="251">
        <v>613848.06295599998</v>
      </c>
      <c r="K6" s="251">
        <v>615313</v>
      </c>
      <c r="L6" s="251">
        <v>605396</v>
      </c>
      <c r="M6" s="251">
        <v>596429</v>
      </c>
      <c r="N6" s="251">
        <v>584228</v>
      </c>
      <c r="O6" s="251">
        <v>573972</v>
      </c>
      <c r="P6" s="251">
        <v>560625</v>
      </c>
      <c r="Q6" s="251">
        <v>579157</v>
      </c>
      <c r="R6" s="252">
        <v>601442</v>
      </c>
      <c r="S6" s="253">
        <v>614616</v>
      </c>
      <c r="T6" s="253">
        <v>576367</v>
      </c>
      <c r="U6" s="253">
        <v>610508.00000000012</v>
      </c>
      <c r="V6" s="253">
        <v>592299.99999999988</v>
      </c>
      <c r="W6" s="253">
        <v>595048</v>
      </c>
      <c r="X6" s="253">
        <v>600057</v>
      </c>
      <c r="Y6" s="253">
        <v>620088</v>
      </c>
      <c r="Z6" s="253">
        <v>619637</v>
      </c>
      <c r="AA6" s="253">
        <v>625541</v>
      </c>
      <c r="AB6" s="253">
        <v>647645</v>
      </c>
      <c r="AC6" s="253">
        <v>706079</v>
      </c>
      <c r="AD6" s="253">
        <v>738539</v>
      </c>
      <c r="AE6" s="253">
        <v>869810</v>
      </c>
      <c r="AF6" s="253">
        <v>880811</v>
      </c>
      <c r="AG6" s="253">
        <v>903661</v>
      </c>
      <c r="AH6" s="253">
        <v>1118292</v>
      </c>
      <c r="AI6" s="253">
        <v>1143109</v>
      </c>
      <c r="AJ6" s="253">
        <v>1153315</v>
      </c>
      <c r="AK6" s="253">
        <v>1176594</v>
      </c>
      <c r="AL6" s="253">
        <v>1171339</v>
      </c>
      <c r="AM6" s="253">
        <v>1184512</v>
      </c>
      <c r="AN6" s="253">
        <v>1164988</v>
      </c>
      <c r="AO6" s="253">
        <v>1189828</v>
      </c>
      <c r="AP6" s="253">
        <v>1213714</v>
      </c>
      <c r="AQ6" s="253">
        <v>1246145</v>
      </c>
      <c r="AR6" s="253">
        <v>1259219</v>
      </c>
      <c r="AS6" s="253">
        <f>905725+42386+322286</f>
        <v>1270397</v>
      </c>
      <c r="AT6" s="253">
        <v>1391332</v>
      </c>
      <c r="AU6" s="253">
        <v>1450932</v>
      </c>
      <c r="AV6" s="253">
        <v>1507572</v>
      </c>
      <c r="AW6" s="253">
        <v>1609000</v>
      </c>
      <c r="AX6" s="253">
        <v>1607047</v>
      </c>
      <c r="AY6" s="253">
        <v>1636927</v>
      </c>
      <c r="AZ6" s="253">
        <v>1655598</v>
      </c>
      <c r="BA6" s="253">
        <v>1714565</v>
      </c>
      <c r="BB6" s="253">
        <v>1759878</v>
      </c>
      <c r="BC6" s="253">
        <v>1877458</v>
      </c>
      <c r="BD6" s="150"/>
      <c r="BE6" s="2"/>
    </row>
    <row r="7" spans="1:57">
      <c r="A7" s="2"/>
      <c r="B7" s="149" t="s">
        <v>238</v>
      </c>
      <c r="C7" s="149"/>
      <c r="D7" s="149"/>
      <c r="E7" s="251"/>
      <c r="F7" s="251"/>
      <c r="G7" s="251"/>
      <c r="H7" s="251"/>
      <c r="I7" s="251"/>
      <c r="J7" s="251"/>
      <c r="K7" s="251"/>
      <c r="L7" s="251"/>
      <c r="M7" s="251"/>
      <c r="N7" s="251"/>
      <c r="O7" s="251"/>
      <c r="P7" s="251"/>
      <c r="Q7" s="251"/>
      <c r="R7" s="254"/>
      <c r="S7" s="255"/>
      <c r="T7" s="255">
        <v>61068.627962999999</v>
      </c>
      <c r="U7" s="255">
        <v>47303.755944999997</v>
      </c>
      <c r="V7" s="255">
        <v>49767.828662</v>
      </c>
      <c r="W7" s="255">
        <v>48279</v>
      </c>
      <c r="X7" s="255">
        <v>49904</v>
      </c>
      <c r="Y7" s="255">
        <v>23942</v>
      </c>
      <c r="Z7" s="255">
        <v>54293</v>
      </c>
      <c r="AA7" s="255">
        <v>86317</v>
      </c>
      <c r="AB7" s="255">
        <v>77753</v>
      </c>
      <c r="AC7" s="255">
        <v>52089</v>
      </c>
      <c r="AD7" s="255">
        <v>76603</v>
      </c>
      <c r="AE7" s="255">
        <v>0</v>
      </c>
      <c r="AF7" s="255">
        <v>0</v>
      </c>
      <c r="AG7" s="255"/>
      <c r="AH7" s="255"/>
      <c r="AI7" s="255"/>
      <c r="AJ7" s="255"/>
      <c r="AK7" s="255"/>
      <c r="AL7" s="255"/>
      <c r="AM7" s="255"/>
      <c r="AN7" s="255"/>
      <c r="AO7" s="255"/>
      <c r="AP7" s="255"/>
      <c r="AQ7" s="255"/>
      <c r="AR7" s="255"/>
      <c r="AS7" s="255"/>
      <c r="AT7" s="255"/>
      <c r="AU7" s="255"/>
      <c r="AV7" s="255"/>
      <c r="AW7" s="255"/>
      <c r="AX7" s="255"/>
      <c r="AY7" s="255"/>
      <c r="AZ7" s="255"/>
      <c r="BA7" s="255"/>
      <c r="BB7" s="255"/>
      <c r="BC7" s="255"/>
      <c r="BD7" s="150"/>
      <c r="BE7" s="2"/>
    </row>
    <row r="8" spans="1:57">
      <c r="A8" s="2"/>
      <c r="B8" s="149" t="s">
        <v>605</v>
      </c>
      <c r="C8" s="149"/>
      <c r="D8" s="149"/>
      <c r="E8" s="251"/>
      <c r="F8" s="251"/>
      <c r="G8" s="251"/>
      <c r="H8" s="251"/>
      <c r="I8" s="251"/>
      <c r="J8" s="251"/>
      <c r="K8" s="251"/>
      <c r="L8" s="251"/>
      <c r="M8" s="251"/>
      <c r="N8" s="251"/>
      <c r="O8" s="251"/>
      <c r="P8" s="251"/>
      <c r="Q8" s="251"/>
      <c r="R8" s="251"/>
      <c r="S8" s="251"/>
      <c r="T8" s="251">
        <v>422732</v>
      </c>
      <c r="U8" s="251">
        <v>428381</v>
      </c>
      <c r="V8" s="251">
        <v>383665</v>
      </c>
      <c r="W8" s="251">
        <v>361949</v>
      </c>
      <c r="X8" s="251">
        <v>352545</v>
      </c>
      <c r="Y8" s="251">
        <v>338082</v>
      </c>
      <c r="Z8" s="251">
        <v>341595</v>
      </c>
      <c r="AA8" s="251">
        <v>346458</v>
      </c>
      <c r="AB8" s="251">
        <v>326351</v>
      </c>
      <c r="AC8" s="251">
        <v>328070</v>
      </c>
      <c r="AD8" s="251">
        <v>334559</v>
      </c>
      <c r="AE8" s="251">
        <v>1227126</v>
      </c>
      <c r="AF8" s="251">
        <v>1212330</v>
      </c>
      <c r="AG8" s="251">
        <v>1200996</v>
      </c>
      <c r="AH8" s="251">
        <v>1144247</v>
      </c>
      <c r="AI8" s="251"/>
      <c r="AJ8" s="251"/>
      <c r="AK8" s="251"/>
      <c r="AL8" s="251"/>
      <c r="AM8" s="251"/>
      <c r="AN8" s="251"/>
      <c r="AO8" s="251"/>
      <c r="AP8" s="251"/>
      <c r="AQ8" s="251"/>
      <c r="AR8" s="251"/>
      <c r="AS8" s="251"/>
      <c r="AT8" s="251"/>
      <c r="AU8" s="251"/>
      <c r="AV8" s="251"/>
      <c r="AW8" s="251"/>
      <c r="AX8" s="251"/>
      <c r="AY8" s="251"/>
      <c r="AZ8" s="251"/>
      <c r="BA8" s="251"/>
      <c r="BB8" s="251"/>
      <c r="BC8" s="251"/>
      <c r="BD8" s="150"/>
      <c r="BE8" s="2"/>
    </row>
    <row r="9" spans="1:57">
      <c r="A9" s="2"/>
      <c r="B9" s="149" t="s">
        <v>239</v>
      </c>
      <c r="C9" s="149"/>
      <c r="D9" s="149"/>
      <c r="E9" s="251">
        <v>660888.78508199996</v>
      </c>
      <c r="F9" s="251">
        <v>682741.74819499988</v>
      </c>
      <c r="G9" s="251">
        <v>678691.38929799991</v>
      </c>
      <c r="H9" s="251">
        <v>691687.97507599997</v>
      </c>
      <c r="I9" s="251">
        <v>680807.86215699988</v>
      </c>
      <c r="J9" s="251">
        <v>752462.16940699983</v>
      </c>
      <c r="K9" s="251">
        <v>786013</v>
      </c>
      <c r="L9" s="251">
        <v>772779</v>
      </c>
      <c r="M9" s="251">
        <v>809716</v>
      </c>
      <c r="N9" s="251">
        <v>808356</v>
      </c>
      <c r="O9" s="251">
        <v>872404</v>
      </c>
      <c r="P9" s="251">
        <v>919763</v>
      </c>
      <c r="Q9" s="251">
        <v>922283</v>
      </c>
      <c r="R9" s="251">
        <v>1038364</v>
      </c>
      <c r="S9" s="251">
        <v>1042897</v>
      </c>
      <c r="T9" s="251">
        <v>611320.00000000012</v>
      </c>
      <c r="U9" s="251">
        <v>684039.00000000012</v>
      </c>
      <c r="V9" s="251">
        <v>727853</v>
      </c>
      <c r="W9" s="251">
        <v>718905</v>
      </c>
      <c r="X9" s="251">
        <v>816319</v>
      </c>
      <c r="Y9" s="251">
        <v>824181</v>
      </c>
      <c r="Z9" s="251">
        <v>822778</v>
      </c>
      <c r="AA9" s="251">
        <v>811741</v>
      </c>
      <c r="AB9" s="251">
        <v>823731</v>
      </c>
      <c r="AC9" s="251">
        <v>837855</v>
      </c>
      <c r="AD9" s="251">
        <v>866738</v>
      </c>
      <c r="AE9" s="251">
        <v>0</v>
      </c>
      <c r="AF9" s="251">
        <v>0</v>
      </c>
      <c r="AG9" s="251">
        <v>860525</v>
      </c>
      <c r="AH9" s="251"/>
      <c r="AI9" s="251">
        <v>1169282</v>
      </c>
      <c r="AJ9" s="251">
        <v>1159315</v>
      </c>
      <c r="AK9" s="251">
        <v>1158784</v>
      </c>
      <c r="AL9" s="251">
        <v>1142479</v>
      </c>
      <c r="AM9" s="251">
        <v>1125882</v>
      </c>
      <c r="AN9" s="251">
        <v>1104460</v>
      </c>
      <c r="AO9" s="251">
        <v>1102233</v>
      </c>
      <c r="AP9" s="251">
        <v>1261199</v>
      </c>
      <c r="AQ9" s="251">
        <v>1261001</v>
      </c>
      <c r="AR9" s="251">
        <v>1242858</v>
      </c>
      <c r="AS9" s="251">
        <v>1229983</v>
      </c>
      <c r="AT9" s="251">
        <v>1216293</v>
      </c>
      <c r="AU9" s="251">
        <v>1638120</v>
      </c>
      <c r="AV9" s="251">
        <v>1666423</v>
      </c>
      <c r="AW9" s="251">
        <v>1659192</v>
      </c>
      <c r="AX9" s="251">
        <v>1589804</v>
      </c>
      <c r="AY9" s="251">
        <v>1567327</v>
      </c>
      <c r="AZ9" s="251">
        <v>1521942</v>
      </c>
      <c r="BA9" s="251">
        <v>1487507</v>
      </c>
      <c r="BB9" s="251">
        <v>1470190</v>
      </c>
      <c r="BC9" s="251">
        <v>1512062</v>
      </c>
      <c r="BD9" s="150"/>
      <c r="BE9" s="2"/>
    </row>
    <row r="10" spans="1:57">
      <c r="A10" s="2"/>
      <c r="B10" s="149" t="s">
        <v>240</v>
      </c>
      <c r="C10" s="149"/>
      <c r="D10" s="149"/>
      <c r="E10" s="251"/>
      <c r="F10" s="251"/>
      <c r="G10" s="251"/>
      <c r="H10" s="251"/>
      <c r="I10" s="251"/>
      <c r="J10" s="251"/>
      <c r="K10" s="251"/>
      <c r="L10" s="251"/>
      <c r="M10" s="251"/>
      <c r="N10" s="251"/>
      <c r="O10" s="251"/>
      <c r="P10" s="251"/>
      <c r="Q10" s="251"/>
      <c r="R10" s="251"/>
      <c r="S10" s="251"/>
      <c r="T10" s="251">
        <v>37319.378192999997</v>
      </c>
      <c r="U10" s="251">
        <v>9715.7778669999971</v>
      </c>
      <c r="V10" s="251">
        <v>45236.662359000002</v>
      </c>
      <c r="W10" s="251">
        <v>68065</v>
      </c>
      <c r="X10" s="251">
        <v>105098</v>
      </c>
      <c r="Y10" s="251">
        <v>84443</v>
      </c>
      <c r="Z10" s="251">
        <v>74239</v>
      </c>
      <c r="AA10" s="251">
        <v>92375</v>
      </c>
      <c r="AB10" s="251">
        <v>67368</v>
      </c>
      <c r="AC10" s="251">
        <v>45423</v>
      </c>
      <c r="AD10" s="251">
        <v>24194</v>
      </c>
      <c r="AE10" s="251">
        <v>0</v>
      </c>
      <c r="AF10" s="251">
        <v>0</v>
      </c>
      <c r="AG10" s="251">
        <v>7909</v>
      </c>
      <c r="AH10" s="251"/>
      <c r="AI10" s="251"/>
      <c r="AJ10" s="251"/>
      <c r="AK10" s="251"/>
      <c r="AL10" s="251"/>
      <c r="AM10" s="251"/>
      <c r="AN10" s="251"/>
      <c r="AO10" s="251"/>
      <c r="AP10" s="251"/>
      <c r="AQ10" s="251"/>
      <c r="AR10" s="251"/>
      <c r="AS10" s="251"/>
      <c r="AT10" s="251"/>
      <c r="AU10" s="251"/>
      <c r="AV10" s="251"/>
      <c r="AW10" s="251"/>
      <c r="AX10" s="251"/>
      <c r="AY10" s="251"/>
      <c r="AZ10" s="251">
        <v>0</v>
      </c>
      <c r="BA10" s="251"/>
      <c r="BB10" s="251"/>
      <c r="BC10" s="251"/>
      <c r="BD10" s="150"/>
      <c r="BE10" s="2"/>
    </row>
    <row r="11" spans="1:57">
      <c r="A11" s="2"/>
      <c r="B11" s="149" t="s">
        <v>241</v>
      </c>
      <c r="C11" s="149"/>
      <c r="D11" s="149"/>
      <c r="E11" s="251">
        <v>222.959732</v>
      </c>
      <c r="F11" s="251">
        <v>9447.7196479999984</v>
      </c>
      <c r="G11" s="251">
        <v>204.99133</v>
      </c>
      <c r="H11" s="251">
        <v>219.96967018956013</v>
      </c>
      <c r="I11" s="251">
        <v>242.301231</v>
      </c>
      <c r="J11" s="251">
        <v>54796.204426999997</v>
      </c>
      <c r="K11" s="251">
        <v>56224</v>
      </c>
      <c r="L11" s="251">
        <v>54983</v>
      </c>
      <c r="M11" s="251">
        <v>56702</v>
      </c>
      <c r="N11" s="251">
        <v>48910</v>
      </c>
      <c r="O11" s="251">
        <v>47482</v>
      </c>
      <c r="P11" s="251">
        <v>49166</v>
      </c>
      <c r="Q11" s="251">
        <v>46257</v>
      </c>
      <c r="R11" s="251">
        <v>48384</v>
      </c>
      <c r="S11" s="251">
        <v>50789</v>
      </c>
      <c r="T11" s="251">
        <v>58540</v>
      </c>
      <c r="U11" s="251">
        <v>60990</v>
      </c>
      <c r="V11" s="251">
        <v>51775</v>
      </c>
      <c r="W11" s="251">
        <v>54147</v>
      </c>
      <c r="X11" s="251">
        <v>80453</v>
      </c>
      <c r="Y11" s="251">
        <v>82277</v>
      </c>
      <c r="Z11" s="251">
        <v>72599</v>
      </c>
      <c r="AA11" s="251">
        <v>75819</v>
      </c>
      <c r="AB11" s="251">
        <v>84598</v>
      </c>
      <c r="AC11" s="251">
        <v>86839</v>
      </c>
      <c r="AD11" s="251">
        <v>76073</v>
      </c>
      <c r="AE11" s="251">
        <v>79251</v>
      </c>
      <c r="AF11" s="251">
        <v>89250</v>
      </c>
      <c r="AG11" s="251">
        <v>88937</v>
      </c>
      <c r="AH11" s="251">
        <v>88769</v>
      </c>
      <c r="AI11" s="251">
        <v>91553</v>
      </c>
      <c r="AJ11" s="251">
        <v>94577</v>
      </c>
      <c r="AK11" s="251">
        <v>96808</v>
      </c>
      <c r="AL11" s="251">
        <v>97276</v>
      </c>
      <c r="AM11" s="251">
        <v>97869</v>
      </c>
      <c r="AN11" s="251">
        <v>248489</v>
      </c>
      <c r="AO11" s="251">
        <v>234346</v>
      </c>
      <c r="AP11" s="251">
        <v>239222</v>
      </c>
      <c r="AQ11" s="251">
        <v>245656</v>
      </c>
      <c r="AR11" s="251">
        <v>252558</v>
      </c>
      <c r="AS11" s="251">
        <v>284268</v>
      </c>
      <c r="AT11" s="251">
        <v>278689</v>
      </c>
      <c r="AU11" s="251">
        <v>280907</v>
      </c>
      <c r="AV11" s="251">
        <v>276976</v>
      </c>
      <c r="AW11" s="251">
        <v>281838</v>
      </c>
      <c r="AX11" s="251">
        <v>286565</v>
      </c>
      <c r="AY11" s="251">
        <v>292691</v>
      </c>
      <c r="AZ11" s="251">
        <v>299756</v>
      </c>
      <c r="BA11" s="251">
        <v>312404</v>
      </c>
      <c r="BB11" s="251">
        <v>327425</v>
      </c>
      <c r="BC11" s="251">
        <v>338041</v>
      </c>
      <c r="BD11" s="150"/>
      <c r="BE11" s="2"/>
    </row>
    <row r="12" spans="1:57">
      <c r="A12" s="2"/>
      <c r="B12" s="151" t="s">
        <v>242</v>
      </c>
      <c r="C12" s="151"/>
      <c r="D12" s="1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150"/>
      <c r="BE12" s="2"/>
    </row>
    <row r="13" spans="1:57">
      <c r="A13" s="2"/>
      <c r="B13" s="149" t="s">
        <v>243</v>
      </c>
      <c r="C13" s="149"/>
      <c r="D13" s="149"/>
      <c r="E13" s="251">
        <v>0</v>
      </c>
      <c r="F13" s="251">
        <v>-1</v>
      </c>
      <c r="G13" s="251">
        <v>-1</v>
      </c>
      <c r="H13" s="251">
        <v>-1</v>
      </c>
      <c r="I13" s="251">
        <v>-1</v>
      </c>
      <c r="J13" s="251">
        <v>0</v>
      </c>
      <c r="K13" s="251">
        <v>35647</v>
      </c>
      <c r="L13" s="251">
        <v>38333</v>
      </c>
      <c r="M13" s="251">
        <v>36341</v>
      </c>
      <c r="N13" s="251">
        <v>29917</v>
      </c>
      <c r="O13" s="251">
        <v>36460.819559000003</v>
      </c>
      <c r="P13" s="251">
        <v>42297.947121999998</v>
      </c>
      <c r="Q13" s="251">
        <v>31260.104533999998</v>
      </c>
      <c r="R13" s="251">
        <v>27999.061933000001</v>
      </c>
      <c r="S13" s="251">
        <v>28006.737679000002</v>
      </c>
      <c r="T13" s="251">
        <v>27837.129137</v>
      </c>
      <c r="U13" s="251">
        <v>28622.264392999998</v>
      </c>
      <c r="V13" s="251">
        <v>29282.078215000001</v>
      </c>
      <c r="W13" s="251">
        <v>57957.185206955015</v>
      </c>
      <c r="X13" s="251">
        <v>59571.646147862994</v>
      </c>
      <c r="Y13" s="251">
        <v>44186.822863301</v>
      </c>
      <c r="Z13" s="251">
        <v>38008.413188981001</v>
      </c>
      <c r="AA13" s="251">
        <v>37784</v>
      </c>
      <c r="AB13" s="251">
        <v>35941.343400440004</v>
      </c>
      <c r="AC13" s="251">
        <v>5769</v>
      </c>
      <c r="AD13" s="251">
        <v>5893</v>
      </c>
      <c r="AE13" s="251">
        <v>6176</v>
      </c>
      <c r="AF13" s="251">
        <v>21645</v>
      </c>
      <c r="AG13" s="251">
        <v>21941</v>
      </c>
      <c r="AH13" s="251">
        <v>21745</v>
      </c>
      <c r="AI13" s="251">
        <v>20215</v>
      </c>
      <c r="AJ13" s="251">
        <v>19862</v>
      </c>
      <c r="AK13" s="251">
        <v>20278</v>
      </c>
      <c r="AL13" s="251">
        <v>17687</v>
      </c>
      <c r="AM13" s="251">
        <v>17710</v>
      </c>
      <c r="AN13" s="251">
        <v>360</v>
      </c>
      <c r="AO13" s="251">
        <v>377</v>
      </c>
      <c r="AP13" s="251">
        <v>471</v>
      </c>
      <c r="AQ13" s="251">
        <v>469</v>
      </c>
      <c r="AR13" s="251">
        <v>471</v>
      </c>
      <c r="AS13" s="251">
        <v>609</v>
      </c>
      <c r="AT13" s="251">
        <v>786</v>
      </c>
      <c r="AU13" s="251">
        <v>488</v>
      </c>
      <c r="AV13" s="251">
        <v>645</v>
      </c>
      <c r="AW13" s="251">
        <v>656</v>
      </c>
      <c r="AX13" s="251">
        <v>768</v>
      </c>
      <c r="AY13" s="251">
        <v>862</v>
      </c>
      <c r="AZ13" s="251">
        <v>844</v>
      </c>
      <c r="BA13" s="251">
        <v>924</v>
      </c>
      <c r="BB13" s="251">
        <v>3606</v>
      </c>
      <c r="BC13" s="251">
        <v>3631</v>
      </c>
      <c r="BD13" s="150"/>
      <c r="BE13" s="2"/>
    </row>
    <row r="14" spans="1:57">
      <c r="A14" s="2"/>
      <c r="B14" s="149" t="s">
        <v>244</v>
      </c>
      <c r="C14" s="149"/>
      <c r="D14" s="149"/>
      <c r="E14" s="251">
        <v>2756</v>
      </c>
      <c r="F14" s="251">
        <v>4029</v>
      </c>
      <c r="G14" s="251">
        <v>3327</v>
      </c>
      <c r="H14" s="251">
        <v>3812</v>
      </c>
      <c r="I14" s="251">
        <v>3566</v>
      </c>
      <c r="J14" s="251">
        <v>3021</v>
      </c>
      <c r="K14" s="251">
        <v>4140</v>
      </c>
      <c r="L14" s="251">
        <v>3513</v>
      </c>
      <c r="M14" s="251">
        <v>2761</v>
      </c>
      <c r="N14" s="251">
        <v>2406</v>
      </c>
      <c r="O14" s="251">
        <v>2507</v>
      </c>
      <c r="P14" s="251">
        <v>5415</v>
      </c>
      <c r="Q14" s="251">
        <v>7303</v>
      </c>
      <c r="R14" s="251">
        <v>3111</v>
      </c>
      <c r="S14" s="251">
        <v>8800</v>
      </c>
      <c r="T14" s="251">
        <v>5662</v>
      </c>
      <c r="U14" s="251">
        <v>13999</v>
      </c>
      <c r="V14" s="251">
        <v>19236</v>
      </c>
      <c r="W14" s="251">
        <v>16286</v>
      </c>
      <c r="X14" s="251">
        <v>5397</v>
      </c>
      <c r="Y14" s="251">
        <v>4732</v>
      </c>
      <c r="Z14" s="251">
        <v>5427</v>
      </c>
      <c r="AA14" s="251">
        <v>9148</v>
      </c>
      <c r="AB14" s="251">
        <v>8351</v>
      </c>
      <c r="AC14" s="251">
        <v>2031</v>
      </c>
      <c r="AD14" s="251">
        <v>2407</v>
      </c>
      <c r="AE14" s="251">
        <v>0</v>
      </c>
      <c r="AF14" s="251">
        <v>0</v>
      </c>
      <c r="AG14" s="251">
        <v>3105</v>
      </c>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150"/>
      <c r="BE14" s="2"/>
    </row>
    <row r="15" spans="1:57">
      <c r="A15" s="2"/>
      <c r="B15" s="149" t="s">
        <v>245</v>
      </c>
      <c r="C15" s="149"/>
      <c r="D15" s="149"/>
      <c r="E15" s="251"/>
      <c r="F15" s="251"/>
      <c r="G15" s="251"/>
      <c r="H15" s="251"/>
      <c r="I15" s="251"/>
      <c r="J15" s="251"/>
      <c r="K15" s="251"/>
      <c r="L15" s="251"/>
      <c r="M15" s="251"/>
      <c r="N15" s="251"/>
      <c r="O15" s="251"/>
      <c r="P15" s="251"/>
      <c r="Q15" s="251"/>
      <c r="R15" s="251"/>
      <c r="S15" s="251"/>
      <c r="T15" s="251">
        <v>0</v>
      </c>
      <c r="U15" s="251">
        <v>0</v>
      </c>
      <c r="V15" s="251">
        <v>0</v>
      </c>
      <c r="W15" s="251">
        <v>0</v>
      </c>
      <c r="X15" s="251">
        <v>0</v>
      </c>
      <c r="Y15" s="251">
        <v>0</v>
      </c>
      <c r="Z15" s="251">
        <v>0</v>
      </c>
      <c r="AA15" s="251"/>
      <c r="AB15" s="251">
        <v>0</v>
      </c>
      <c r="AC15" s="251">
        <v>0</v>
      </c>
      <c r="AD15" s="251">
        <v>0</v>
      </c>
      <c r="AE15" s="251">
        <v>0</v>
      </c>
      <c r="AF15" s="251">
        <v>0</v>
      </c>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150"/>
      <c r="BE15" s="2"/>
    </row>
    <row r="16" spans="1:57">
      <c r="A16" s="2"/>
      <c r="B16" s="149" t="s">
        <v>246</v>
      </c>
      <c r="C16" s="149"/>
      <c r="D16" s="149"/>
      <c r="E16" s="251">
        <v>16887.001215</v>
      </c>
      <c r="F16" s="251">
        <v>15774.957990000001</v>
      </c>
      <c r="G16" s="251">
        <v>15947.814286999999</v>
      </c>
      <c r="H16" s="251">
        <v>16491.771877810439</v>
      </c>
      <c r="I16" s="251">
        <v>16999.207839999999</v>
      </c>
      <c r="J16" s="251">
        <v>13207.285551000001</v>
      </c>
      <c r="K16" s="251">
        <v>14926</v>
      </c>
      <c r="L16" s="251">
        <v>17235</v>
      </c>
      <c r="M16" s="251">
        <v>17330</v>
      </c>
      <c r="N16" s="251">
        <v>17194</v>
      </c>
      <c r="O16" s="251">
        <v>18602</v>
      </c>
      <c r="P16" s="251">
        <v>16379</v>
      </c>
      <c r="Q16" s="251">
        <v>16018</v>
      </c>
      <c r="R16" s="251">
        <v>21416.89705</v>
      </c>
      <c r="S16" s="251">
        <v>25612</v>
      </c>
      <c r="T16" s="251">
        <v>9687</v>
      </c>
      <c r="U16" s="251">
        <v>9948</v>
      </c>
      <c r="V16" s="251">
        <v>10145</v>
      </c>
      <c r="W16" s="251">
        <v>8207</v>
      </c>
      <c r="X16" s="251">
        <v>8738</v>
      </c>
      <c r="Y16" s="251">
        <v>9630.1450890970009</v>
      </c>
      <c r="Z16" s="251">
        <v>9015.2317978259998</v>
      </c>
      <c r="AA16" s="251">
        <v>9231</v>
      </c>
      <c r="AB16" s="251">
        <v>9554.6714292970009</v>
      </c>
      <c r="AC16" s="251">
        <v>9703</v>
      </c>
      <c r="AD16" s="251">
        <v>11024</v>
      </c>
      <c r="AE16" s="251">
        <v>0</v>
      </c>
      <c r="AF16" s="251">
        <v>0</v>
      </c>
      <c r="AG16" s="251">
        <v>16452</v>
      </c>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150"/>
      <c r="BE16" s="2"/>
    </row>
    <row r="17" spans="1:57">
      <c r="A17" s="2"/>
      <c r="B17" s="149" t="s">
        <v>247</v>
      </c>
      <c r="C17" s="149"/>
      <c r="D17" s="149"/>
      <c r="E17" s="251">
        <v>15568</v>
      </c>
      <c r="F17" s="251">
        <v>17107</v>
      </c>
      <c r="G17" s="251">
        <v>17563</v>
      </c>
      <c r="H17" s="251">
        <v>19992</v>
      </c>
      <c r="I17" s="251">
        <v>21038</v>
      </c>
      <c r="J17" s="251">
        <v>22866</v>
      </c>
      <c r="K17" s="251">
        <v>23267</v>
      </c>
      <c r="L17" s="251">
        <v>24498</v>
      </c>
      <c r="M17" s="251">
        <v>26009</v>
      </c>
      <c r="N17" s="251">
        <v>26896</v>
      </c>
      <c r="O17" s="251">
        <v>27718</v>
      </c>
      <c r="P17" s="251">
        <v>26825</v>
      </c>
      <c r="Q17" s="251">
        <v>28383</v>
      </c>
      <c r="R17" s="251">
        <v>27484</v>
      </c>
      <c r="S17" s="251">
        <v>28503</v>
      </c>
      <c r="T17" s="251">
        <v>18346</v>
      </c>
      <c r="U17" s="251">
        <v>17502</v>
      </c>
      <c r="V17" s="251">
        <v>17342</v>
      </c>
      <c r="W17" s="251">
        <v>20856</v>
      </c>
      <c r="X17" s="251">
        <v>16766</v>
      </c>
      <c r="Y17" s="251">
        <v>16653</v>
      </c>
      <c r="Z17" s="251">
        <v>15165</v>
      </c>
      <c r="AA17" s="251">
        <v>15673</v>
      </c>
      <c r="AB17" s="251">
        <v>6813</v>
      </c>
      <c r="AC17" s="251">
        <v>5814</v>
      </c>
      <c r="AD17" s="251">
        <v>5250</v>
      </c>
      <c r="AE17" s="251">
        <v>18515</v>
      </c>
      <c r="AF17" s="251">
        <v>17286</v>
      </c>
      <c r="AG17" s="251">
        <v>22784</v>
      </c>
      <c r="AH17" s="251">
        <v>18080</v>
      </c>
      <c r="AI17" s="251">
        <v>12853</v>
      </c>
      <c r="AJ17" s="251">
        <v>12504</v>
      </c>
      <c r="AK17" s="251">
        <v>23465</v>
      </c>
      <c r="AL17" s="251">
        <v>25856</v>
      </c>
      <c r="AM17" s="251">
        <v>27344</v>
      </c>
      <c r="AN17" s="251">
        <v>23443</v>
      </c>
      <c r="AO17" s="251">
        <v>23402</v>
      </c>
      <c r="AP17" s="251">
        <v>23422</v>
      </c>
      <c r="AQ17" s="251">
        <v>23405</v>
      </c>
      <c r="AR17" s="251">
        <v>22846</v>
      </c>
      <c r="AS17" s="251">
        <f>218+22515</f>
        <v>22733</v>
      </c>
      <c r="AT17" s="251">
        <v>25061</v>
      </c>
      <c r="AU17" s="251">
        <v>25499</v>
      </c>
      <c r="AV17" s="251">
        <v>25805</v>
      </c>
      <c r="AW17" s="251">
        <v>26817</v>
      </c>
      <c r="AX17" s="251">
        <v>25119</v>
      </c>
      <c r="AY17" s="251">
        <v>27250</v>
      </c>
      <c r="AZ17" s="251">
        <v>25251</v>
      </c>
      <c r="BA17" s="251">
        <v>28427.37342081</v>
      </c>
      <c r="BB17" s="251">
        <v>30149</v>
      </c>
      <c r="BC17" s="251">
        <v>27347</v>
      </c>
      <c r="BD17" s="150"/>
      <c r="BE17" s="2"/>
    </row>
    <row r="18" spans="1:57">
      <c r="A18" s="2"/>
      <c r="B18" s="149" t="s">
        <v>248</v>
      </c>
      <c r="C18" s="149"/>
      <c r="D18" s="149"/>
      <c r="E18" s="251">
        <v>51277</v>
      </c>
      <c r="F18" s="251">
        <v>59089</v>
      </c>
      <c r="G18" s="251">
        <v>56197</v>
      </c>
      <c r="H18" s="251">
        <v>58685</v>
      </c>
      <c r="I18" s="251">
        <v>59245</v>
      </c>
      <c r="J18" s="251">
        <v>64696</v>
      </c>
      <c r="K18" s="251">
        <v>66039</v>
      </c>
      <c r="L18" s="251">
        <v>65996</v>
      </c>
      <c r="M18" s="251">
        <v>62627</v>
      </c>
      <c r="N18" s="251">
        <v>59845</v>
      </c>
      <c r="O18" s="251">
        <v>61277</v>
      </c>
      <c r="P18" s="251">
        <v>58304</v>
      </c>
      <c r="Q18" s="251">
        <v>59502</v>
      </c>
      <c r="R18" s="251">
        <v>51862</v>
      </c>
      <c r="S18" s="251">
        <v>49980</v>
      </c>
      <c r="T18" s="251">
        <v>47971</v>
      </c>
      <c r="U18" s="251">
        <v>46738</v>
      </c>
      <c r="V18" s="251">
        <v>42987</v>
      </c>
      <c r="W18" s="251">
        <v>41341</v>
      </c>
      <c r="X18" s="251">
        <v>37409</v>
      </c>
      <c r="Y18" s="251">
        <v>26262</v>
      </c>
      <c r="Z18" s="251">
        <v>24590</v>
      </c>
      <c r="AA18" s="251">
        <v>25589</v>
      </c>
      <c r="AB18" s="251">
        <v>21218.210903476989</v>
      </c>
      <c r="AC18" s="251">
        <v>25505</v>
      </c>
      <c r="AD18" s="251">
        <v>28865</v>
      </c>
      <c r="AE18" s="251">
        <v>101884</v>
      </c>
      <c r="AF18" s="251">
        <v>100567</v>
      </c>
      <c r="AG18" s="251">
        <v>107073</v>
      </c>
      <c r="AH18" s="251">
        <v>130379</v>
      </c>
      <c r="AI18" s="251">
        <v>238960</v>
      </c>
      <c r="AJ18" s="251">
        <v>258421</v>
      </c>
      <c r="AK18" s="251">
        <v>291248</v>
      </c>
      <c r="AL18" s="251">
        <v>259175</v>
      </c>
      <c r="AM18" s="251">
        <v>259528</v>
      </c>
      <c r="AN18" s="251">
        <v>222122</v>
      </c>
      <c r="AO18" s="251">
        <v>222103</v>
      </c>
      <c r="AP18" s="251">
        <v>222493</v>
      </c>
      <c r="AQ18" s="251">
        <v>221408</v>
      </c>
      <c r="AR18" s="251">
        <v>222564</v>
      </c>
      <c r="AS18" s="251">
        <v>216729</v>
      </c>
      <c r="AT18" s="251">
        <v>215959</v>
      </c>
      <c r="AU18" s="251">
        <v>214554</v>
      </c>
      <c r="AV18" s="251">
        <v>211961</v>
      </c>
      <c r="AW18" s="251">
        <v>209918</v>
      </c>
      <c r="AX18" s="251">
        <v>213127</v>
      </c>
      <c r="AY18" s="251">
        <v>211620</v>
      </c>
      <c r="AZ18" s="251">
        <v>204709</v>
      </c>
      <c r="BA18" s="251">
        <v>206563</v>
      </c>
      <c r="BB18" s="251">
        <v>202489</v>
      </c>
      <c r="BC18" s="251">
        <v>193832</v>
      </c>
      <c r="BD18" s="150"/>
      <c r="BE18" s="2"/>
    </row>
    <row r="19" spans="1:57">
      <c r="A19" s="2"/>
      <c r="B19" s="149" t="s">
        <v>249</v>
      </c>
      <c r="C19" s="149"/>
      <c r="D19" s="149"/>
      <c r="E19" s="251"/>
      <c r="F19" s="251"/>
      <c r="G19" s="251"/>
      <c r="H19" s="251"/>
      <c r="I19" s="251"/>
      <c r="J19" s="251"/>
      <c r="K19" s="251"/>
      <c r="L19" s="251"/>
      <c r="M19" s="251"/>
      <c r="N19" s="251"/>
      <c r="O19" s="251"/>
      <c r="P19" s="251"/>
      <c r="Q19" s="251"/>
      <c r="R19" s="251"/>
      <c r="S19" s="251"/>
      <c r="T19" s="251">
        <v>91069.993844000011</v>
      </c>
      <c r="U19" s="251">
        <v>70933.466188000006</v>
      </c>
      <c r="V19" s="251">
        <v>35192.508978999998</v>
      </c>
      <c r="W19" s="251">
        <v>40864.281411734002</v>
      </c>
      <c r="X19" s="251">
        <v>49930.104773322004</v>
      </c>
      <c r="Y19" s="251">
        <v>49875.010441724</v>
      </c>
      <c r="Z19" s="251">
        <v>33697.046627678996</v>
      </c>
      <c r="AA19" s="251">
        <v>35796</v>
      </c>
      <c r="AB19" s="251">
        <v>25603</v>
      </c>
      <c r="AC19" s="251">
        <v>29330</v>
      </c>
      <c r="AD19" s="251">
        <v>47651</v>
      </c>
      <c r="AE19" s="251">
        <v>50293</v>
      </c>
      <c r="AF19" s="251">
        <v>53647</v>
      </c>
      <c r="AG19" s="251">
        <v>77526</v>
      </c>
      <c r="AH19" s="251">
        <v>93076</v>
      </c>
      <c r="AI19" s="251">
        <v>83653</v>
      </c>
      <c r="AJ19" s="251">
        <v>77803</v>
      </c>
      <c r="AK19" s="251">
        <v>74181</v>
      </c>
      <c r="AL19" s="251">
        <v>67488</v>
      </c>
      <c r="AM19" s="251">
        <v>70530</v>
      </c>
      <c r="AN19" s="251">
        <v>71685</v>
      </c>
      <c r="AO19" s="251">
        <v>140460</v>
      </c>
      <c r="AP19" s="251">
        <v>82147</v>
      </c>
      <c r="AQ19" s="251">
        <v>79533</v>
      </c>
      <c r="AR19" s="251">
        <v>84316</v>
      </c>
      <c r="AS19" s="251">
        <v>91562</v>
      </c>
      <c r="AT19" s="251">
        <v>94994</v>
      </c>
      <c r="AU19" s="251">
        <v>100995</v>
      </c>
      <c r="AV19" s="251">
        <v>101602</v>
      </c>
      <c r="AW19" s="251">
        <v>103898</v>
      </c>
      <c r="AX19" s="251">
        <v>98106</v>
      </c>
      <c r="AY19" s="251">
        <v>104356</v>
      </c>
      <c r="AZ19" s="251">
        <v>105945</v>
      </c>
      <c r="BA19" s="251">
        <v>112159</v>
      </c>
      <c r="BB19" s="251">
        <v>108312</v>
      </c>
      <c r="BC19" s="251">
        <v>104619</v>
      </c>
      <c r="BD19" s="150"/>
      <c r="BE19" s="2"/>
    </row>
    <row r="20" spans="1:57">
      <c r="A20" s="2"/>
      <c r="B20" s="588"/>
      <c r="C20" s="588"/>
      <c r="D20" s="588"/>
      <c r="E20" s="263">
        <v>1422531.80632</v>
      </c>
      <c r="F20" s="263">
        <v>1482473.1961439999</v>
      </c>
      <c r="G20" s="263">
        <v>1459415.5246810003</v>
      </c>
      <c r="H20" s="263">
        <v>1478548.5913429998</v>
      </c>
      <c r="I20" s="263">
        <v>1470327.9065050001</v>
      </c>
      <c r="J20" s="263">
        <v>1524896.7223409996</v>
      </c>
      <c r="K20" s="263">
        <v>1601569</v>
      </c>
      <c r="L20" s="263">
        <v>1582733</v>
      </c>
      <c r="M20" s="263">
        <v>1607915</v>
      </c>
      <c r="N20" s="263">
        <v>1577752</v>
      </c>
      <c r="O20" s="263">
        <v>1640422.819559</v>
      </c>
      <c r="P20" s="263">
        <v>1678774.9471219999</v>
      </c>
      <c r="Q20" s="263">
        <v>1690163.1045339999</v>
      </c>
      <c r="R20" s="263">
        <v>1820062.9589830001</v>
      </c>
      <c r="S20" s="263">
        <v>1849203.737679</v>
      </c>
      <c r="T20" s="263">
        <v>1967920</v>
      </c>
      <c r="U20" s="263">
        <v>2028680</v>
      </c>
      <c r="V20" s="263">
        <v>2004783</v>
      </c>
      <c r="W20" s="263">
        <v>2031904</v>
      </c>
      <c r="X20" s="263">
        <v>2182188</v>
      </c>
      <c r="Y20" s="263">
        <v>2124351.9783941223</v>
      </c>
      <c r="Z20" s="263">
        <v>2111042.6916144858</v>
      </c>
      <c r="AA20" s="263">
        <f>SUM(AA6:AA19)</f>
        <v>2171472</v>
      </c>
      <c r="AB20" s="263">
        <v>35516.970085688998</v>
      </c>
      <c r="AC20" s="263">
        <v>36319</v>
      </c>
      <c r="AD20" s="263">
        <v>44547</v>
      </c>
      <c r="AE20" s="263">
        <v>2353055</v>
      </c>
      <c r="AF20" s="263">
        <v>2375536</v>
      </c>
      <c r="AG20" s="263">
        <v>2422918</v>
      </c>
      <c r="AH20" s="263">
        <v>2614588</v>
      </c>
      <c r="AI20" s="263">
        <v>2759625</v>
      </c>
      <c r="AJ20" s="263">
        <v>2775797</v>
      </c>
      <c r="AK20" s="263">
        <v>2841358</v>
      </c>
      <c r="AL20" s="263">
        <v>2781300</v>
      </c>
      <c r="AM20" s="263">
        <v>2783375</v>
      </c>
      <c r="AN20" s="263">
        <v>2835547</v>
      </c>
      <c r="AO20" s="263">
        <v>2912749</v>
      </c>
      <c r="AP20" s="263">
        <v>3042668</v>
      </c>
      <c r="AQ20" s="263">
        <v>3077617</v>
      </c>
      <c r="AR20" s="263">
        <v>3084832</v>
      </c>
      <c r="AS20" s="263">
        <v>3116281</v>
      </c>
      <c r="AT20" s="263">
        <v>3223114</v>
      </c>
      <c r="AU20" s="263">
        <v>3711495</v>
      </c>
      <c r="AV20" s="263">
        <v>3790984</v>
      </c>
      <c r="AW20" s="263">
        <v>3891319</v>
      </c>
      <c r="AX20" s="263">
        <v>3820536</v>
      </c>
      <c r="AY20" s="263">
        <v>3841033</v>
      </c>
      <c r="AZ20" s="263">
        <v>3814045</v>
      </c>
      <c r="BA20" s="263">
        <v>3862549.3734208099</v>
      </c>
      <c r="BB20" s="263">
        <v>3902049.3817659998</v>
      </c>
      <c r="BC20" s="263">
        <v>4056990</v>
      </c>
      <c r="BD20" s="152"/>
      <c r="BE20" s="2"/>
    </row>
    <row r="21" spans="1:57" ht="18" hidden="1" customHeight="1">
      <c r="A21" s="2"/>
      <c r="B21" s="147"/>
      <c r="C21" s="147"/>
      <c r="D21" s="147"/>
      <c r="E21" s="251"/>
      <c r="F21" s="251"/>
      <c r="G21" s="251"/>
      <c r="H21" s="251"/>
      <c r="I21" s="251"/>
      <c r="J21" s="251"/>
      <c r="K21" s="251"/>
      <c r="L21" s="251"/>
      <c r="M21" s="251"/>
      <c r="N21" s="251"/>
      <c r="O21" s="251"/>
      <c r="P21" s="251"/>
      <c r="Q21" s="251"/>
      <c r="R21" s="251"/>
      <c r="S21" s="251"/>
      <c r="T21" s="251"/>
      <c r="U21" s="251"/>
      <c r="V21" s="251"/>
      <c r="W21" s="251"/>
      <c r="X21" s="251"/>
      <c r="Y21" s="251"/>
      <c r="Z21" s="251"/>
      <c r="AA21" s="251"/>
      <c r="AB21" s="251">
        <v>2170444.1958189029</v>
      </c>
      <c r="AC21" s="251">
        <v>2170826</v>
      </c>
      <c r="AD21" s="251">
        <v>2262343</v>
      </c>
      <c r="AE21" s="251">
        <v>2262343</v>
      </c>
      <c r="AF21" s="251">
        <v>2375536</v>
      </c>
      <c r="AG21" s="251">
        <v>2375536</v>
      </c>
      <c r="AH21" s="251">
        <v>2375536</v>
      </c>
      <c r="AI21" s="251"/>
      <c r="AJ21" s="251">
        <v>2775797</v>
      </c>
      <c r="AK21" s="251"/>
      <c r="AL21" s="251"/>
      <c r="AM21" s="251">
        <v>2783375</v>
      </c>
      <c r="AN21" s="251"/>
      <c r="AO21" s="251"/>
      <c r="AP21" s="251"/>
      <c r="AQ21" s="251"/>
      <c r="AR21" s="251"/>
      <c r="AS21" s="251"/>
      <c r="AT21" s="251"/>
      <c r="AU21" s="251"/>
      <c r="AV21" s="251"/>
      <c r="AW21" s="251"/>
      <c r="AX21" s="251"/>
      <c r="AY21" s="251"/>
      <c r="AZ21" s="251"/>
      <c r="BA21" s="251">
        <v>3862549.3734208099</v>
      </c>
      <c r="BB21" s="251"/>
      <c r="BC21" s="251"/>
      <c r="BD21" s="150"/>
      <c r="BE21" s="2"/>
    </row>
    <row r="22" spans="1:57">
      <c r="A22" s="2"/>
      <c r="B22" s="147" t="s">
        <v>250</v>
      </c>
      <c r="C22" s="147"/>
      <c r="D22" s="147"/>
      <c r="E22" s="251"/>
      <c r="F22" s="251"/>
      <c r="G22" s="251"/>
      <c r="H22" s="251"/>
      <c r="I22" s="251"/>
      <c r="J22" s="251"/>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150"/>
      <c r="BE22" s="2"/>
    </row>
    <row r="23" spans="1:57">
      <c r="A23" s="2"/>
      <c r="B23" s="149" t="s">
        <v>251</v>
      </c>
      <c r="C23" s="149"/>
      <c r="D23" s="149"/>
      <c r="E23" s="251">
        <v>1308</v>
      </c>
      <c r="F23" s="251">
        <v>1323</v>
      </c>
      <c r="G23" s="251">
        <v>1355</v>
      </c>
      <c r="H23" s="251">
        <v>1252</v>
      </c>
      <c r="I23" s="251">
        <v>1108.5035170000001</v>
      </c>
      <c r="J23" s="251">
        <v>1533.6933289999999</v>
      </c>
      <c r="K23" s="251">
        <v>1662</v>
      </c>
      <c r="L23" s="251">
        <v>1442</v>
      </c>
      <c r="M23" s="251">
        <v>1422</v>
      </c>
      <c r="N23" s="251">
        <v>1770</v>
      </c>
      <c r="O23" s="251">
        <v>1308</v>
      </c>
      <c r="P23" s="251">
        <v>1264</v>
      </c>
      <c r="Q23" s="251">
        <v>1339.3721579999999</v>
      </c>
      <c r="R23" s="251">
        <v>1747.6566319999999</v>
      </c>
      <c r="S23" s="251">
        <v>1570.8032499999995</v>
      </c>
      <c r="T23" s="251">
        <v>1814</v>
      </c>
      <c r="U23" s="251">
        <v>1692</v>
      </c>
      <c r="V23" s="251">
        <v>1623</v>
      </c>
      <c r="W23" s="251">
        <v>1483</v>
      </c>
      <c r="X23" s="251">
        <v>1288</v>
      </c>
      <c r="Y23" s="251">
        <v>488.4957471670001</v>
      </c>
      <c r="Z23" s="251">
        <v>807.215077866</v>
      </c>
      <c r="AA23" s="251">
        <v>544</v>
      </c>
      <c r="AB23" s="251">
        <v>644.85388942200007</v>
      </c>
      <c r="AC23" s="251">
        <v>693</v>
      </c>
      <c r="AD23" s="251">
        <v>809</v>
      </c>
      <c r="AE23" s="251">
        <v>0</v>
      </c>
      <c r="AF23" s="251">
        <v>0</v>
      </c>
      <c r="AG23" s="251">
        <v>84</v>
      </c>
      <c r="AH23" s="251"/>
      <c r="AI23" s="251"/>
      <c r="AJ23" s="251"/>
      <c r="AK23" s="251"/>
      <c r="AL23" s="251"/>
      <c r="AM23" s="251"/>
      <c r="AN23" s="251"/>
      <c r="AO23" s="251"/>
      <c r="AP23" s="251"/>
      <c r="AQ23" s="251"/>
      <c r="AR23" s="251"/>
      <c r="AS23" s="251"/>
      <c r="AT23" s="251"/>
      <c r="AU23" s="251"/>
      <c r="AV23" s="251"/>
      <c r="AW23" s="251"/>
      <c r="AX23" s="251"/>
      <c r="AY23" s="251"/>
      <c r="AZ23" s="251"/>
      <c r="BA23" s="251"/>
      <c r="BB23" s="251"/>
      <c r="BC23" s="251"/>
      <c r="BD23" s="150"/>
      <c r="BE23" s="2"/>
    </row>
    <row r="24" spans="1:57">
      <c r="A24" s="2"/>
      <c r="B24" s="151" t="s">
        <v>242</v>
      </c>
      <c r="C24" s="151"/>
      <c r="D24" s="151"/>
      <c r="E24" s="251">
        <v>801.94280200000003</v>
      </c>
      <c r="F24" s="251">
        <v>700.60535700000003</v>
      </c>
      <c r="G24" s="251">
        <v>1011.213941</v>
      </c>
      <c r="H24" s="251">
        <v>13165.913726000001</v>
      </c>
      <c r="I24" s="251">
        <v>4347.5036499999997</v>
      </c>
      <c r="J24" s="251">
        <v>4537.4102199999998</v>
      </c>
      <c r="K24" s="251">
        <v>6723</v>
      </c>
      <c r="L24" s="251">
        <v>9030</v>
      </c>
      <c r="M24" s="251">
        <v>8127</v>
      </c>
      <c r="N24" s="251">
        <v>8024</v>
      </c>
      <c r="O24" s="251">
        <v>9132</v>
      </c>
      <c r="P24" s="251">
        <v>10203</v>
      </c>
      <c r="Q24" s="251">
        <v>10075</v>
      </c>
      <c r="R24" s="251">
        <v>10795</v>
      </c>
      <c r="S24" s="251">
        <v>11899</v>
      </c>
      <c r="T24" s="251"/>
      <c r="U24" s="251"/>
      <c r="V24" s="251"/>
      <c r="W24" s="251"/>
      <c r="X24" s="251"/>
      <c r="Y24" s="251"/>
      <c r="Z24" s="251"/>
      <c r="AA24" s="251"/>
      <c r="AB24" s="251"/>
      <c r="AC24" s="251"/>
      <c r="AD24" s="251"/>
      <c r="AE24" s="251"/>
      <c r="AF24" s="251"/>
      <c r="AG24" s="251"/>
      <c r="AH24" s="251"/>
      <c r="AI24" s="251"/>
      <c r="AJ24" s="251"/>
      <c r="AK24" s="251"/>
      <c r="AL24" s="251"/>
      <c r="AM24" s="251"/>
      <c r="AN24" s="251"/>
      <c r="AO24" s="251"/>
      <c r="AP24" s="251"/>
      <c r="AQ24" s="251"/>
      <c r="AR24" s="251"/>
      <c r="AS24" s="251"/>
      <c r="AT24" s="251"/>
      <c r="AU24" s="251"/>
      <c r="AV24" s="251"/>
      <c r="AW24" s="251"/>
      <c r="AX24" s="251"/>
      <c r="AY24" s="251"/>
      <c r="AZ24" s="251"/>
      <c r="BA24" s="251"/>
      <c r="BB24" s="251"/>
      <c r="BC24" s="251"/>
      <c r="BD24" s="150"/>
      <c r="BE24" s="2"/>
    </row>
    <row r="25" spans="1:57">
      <c r="A25" s="2"/>
      <c r="B25" s="149" t="s">
        <v>243</v>
      </c>
      <c r="C25" s="149"/>
      <c r="D25" s="149"/>
      <c r="E25" s="251">
        <v>18132.267549</v>
      </c>
      <c r="F25" s="251">
        <v>33003.343495000001</v>
      </c>
      <c r="G25" s="251">
        <v>16302.980442</v>
      </c>
      <c r="H25" s="251">
        <v>68963.344725999996</v>
      </c>
      <c r="I25" s="251">
        <v>67451.496350000001</v>
      </c>
      <c r="J25" s="251">
        <v>114089.58977999999</v>
      </c>
      <c r="K25" s="251">
        <v>58229</v>
      </c>
      <c r="L25" s="251">
        <v>87161</v>
      </c>
      <c r="M25" s="251">
        <v>62265</v>
      </c>
      <c r="N25" s="251">
        <v>87414</v>
      </c>
      <c r="O25" s="251">
        <v>72901</v>
      </c>
      <c r="P25" s="251">
        <v>61209</v>
      </c>
      <c r="Q25" s="251">
        <v>92840</v>
      </c>
      <c r="R25" s="251">
        <v>88447</v>
      </c>
      <c r="S25" s="251">
        <v>71499</v>
      </c>
      <c r="T25" s="251">
        <v>15788</v>
      </c>
      <c r="U25" s="251">
        <v>16159</v>
      </c>
      <c r="V25" s="251">
        <v>47181</v>
      </c>
      <c r="W25" s="251">
        <v>15580</v>
      </c>
      <c r="X25" s="251">
        <v>20109</v>
      </c>
      <c r="Y25" s="251">
        <v>16922.573253999999</v>
      </c>
      <c r="Z25" s="251">
        <v>25996.924931000001</v>
      </c>
      <c r="AA25" s="251">
        <v>18799</v>
      </c>
      <c r="AB25" s="251">
        <v>35184.960179613998</v>
      </c>
      <c r="AC25" s="251">
        <v>68978</v>
      </c>
      <c r="AD25" s="251">
        <v>72249</v>
      </c>
      <c r="AE25" s="251">
        <v>56744</v>
      </c>
      <c r="AF25" s="251">
        <v>38189</v>
      </c>
      <c r="AG25" s="251">
        <v>46232</v>
      </c>
      <c r="AH25" s="251">
        <v>55570</v>
      </c>
      <c r="AI25" s="251">
        <v>60383</v>
      </c>
      <c r="AJ25" s="251">
        <v>192660</v>
      </c>
      <c r="AK25" s="251">
        <v>137679</v>
      </c>
      <c r="AL25" s="251">
        <v>139873</v>
      </c>
      <c r="AM25" s="251">
        <v>92355</v>
      </c>
      <c r="AN25" s="251">
        <v>6139</v>
      </c>
      <c r="AO25" s="251">
        <v>40781</v>
      </c>
      <c r="AP25" s="251">
        <v>1970</v>
      </c>
      <c r="AQ25" s="251">
        <v>70632</v>
      </c>
      <c r="AR25" s="251">
        <v>4440</v>
      </c>
      <c r="AS25" s="251">
        <v>8614</v>
      </c>
      <c r="AT25" s="251">
        <v>17427</v>
      </c>
      <c r="AU25" s="251">
        <v>15110</v>
      </c>
      <c r="AV25" s="251">
        <v>62336</v>
      </c>
      <c r="AW25" s="251">
        <v>47045</v>
      </c>
      <c r="AX25" s="251">
        <v>81515</v>
      </c>
      <c r="AY25" s="251">
        <v>21627</v>
      </c>
      <c r="AZ25" s="251">
        <v>61020</v>
      </c>
      <c r="BA25" s="251">
        <v>2695</v>
      </c>
      <c r="BB25" s="251">
        <v>10075</v>
      </c>
      <c r="BC25" s="251">
        <v>2711</v>
      </c>
      <c r="BD25" s="150"/>
      <c r="BE25" s="2"/>
    </row>
    <row r="26" spans="1:57">
      <c r="A26" s="2"/>
      <c r="B26" s="149" t="s">
        <v>244</v>
      </c>
      <c r="C26" s="149"/>
      <c r="D26" s="149"/>
      <c r="E26" s="251">
        <v>2137</v>
      </c>
      <c r="F26" s="251">
        <v>3030</v>
      </c>
      <c r="G26" s="251">
        <v>1606</v>
      </c>
      <c r="H26" s="251">
        <v>1684</v>
      </c>
      <c r="I26" s="251">
        <v>1097</v>
      </c>
      <c r="J26" s="251">
        <v>1875</v>
      </c>
      <c r="K26" s="251">
        <v>1768</v>
      </c>
      <c r="L26" s="251">
        <v>1323</v>
      </c>
      <c r="M26" s="251">
        <v>819</v>
      </c>
      <c r="N26" s="251">
        <v>2314</v>
      </c>
      <c r="O26" s="251">
        <v>2649</v>
      </c>
      <c r="P26" s="251">
        <v>1233</v>
      </c>
      <c r="Q26" s="251">
        <v>1207</v>
      </c>
      <c r="R26" s="251">
        <v>3859</v>
      </c>
      <c r="S26" s="251">
        <v>4866</v>
      </c>
      <c r="T26" s="251">
        <v>2185</v>
      </c>
      <c r="U26" s="251">
        <v>4765</v>
      </c>
      <c r="V26" s="251">
        <v>2258</v>
      </c>
      <c r="W26" s="251">
        <v>2729</v>
      </c>
      <c r="X26" s="251">
        <v>1352</v>
      </c>
      <c r="Y26" s="251">
        <v>2060</v>
      </c>
      <c r="Z26" s="251">
        <v>4853</v>
      </c>
      <c r="AA26" s="251">
        <v>2927</v>
      </c>
      <c r="AB26" s="251">
        <v>698</v>
      </c>
      <c r="AC26" s="251">
        <v>8941</v>
      </c>
      <c r="AD26" s="251">
        <v>6426</v>
      </c>
      <c r="AE26" s="251">
        <v>0</v>
      </c>
      <c r="AF26" s="251">
        <v>0</v>
      </c>
      <c r="AG26" s="251">
        <v>426</v>
      </c>
      <c r="AH26" s="251"/>
      <c r="AI26" s="251"/>
      <c r="AJ26" s="251"/>
      <c r="AK26" s="251"/>
      <c r="AL26" s="251"/>
      <c r="AM26" s="251"/>
      <c r="AN26" s="251"/>
      <c r="AO26" s="251"/>
      <c r="AP26" s="251"/>
      <c r="AQ26" s="251"/>
      <c r="AR26" s="251"/>
      <c r="AS26" s="251"/>
      <c r="AT26" s="251"/>
      <c r="AU26" s="251"/>
      <c r="AV26" s="251"/>
      <c r="AW26" s="251"/>
      <c r="AX26" s="251"/>
      <c r="AY26" s="251"/>
      <c r="AZ26" s="251"/>
      <c r="BA26" s="251"/>
      <c r="BB26" s="251"/>
      <c r="BC26" s="251"/>
      <c r="BD26" s="150"/>
      <c r="BE26" s="2"/>
    </row>
    <row r="27" spans="1:57">
      <c r="A27" s="2"/>
      <c r="B27" s="149" t="s">
        <v>245</v>
      </c>
      <c r="C27" s="149"/>
      <c r="D27" s="149"/>
      <c r="E27" s="251">
        <v>63735</v>
      </c>
      <c r="F27" s="251">
        <v>70882</v>
      </c>
      <c r="G27" s="251">
        <v>77332</v>
      </c>
      <c r="H27" s="251">
        <v>68873</v>
      </c>
      <c r="I27" s="251">
        <v>66430</v>
      </c>
      <c r="J27" s="251">
        <v>57452</v>
      </c>
      <c r="K27" s="251">
        <v>52474</v>
      </c>
      <c r="L27" s="251">
        <v>62141</v>
      </c>
      <c r="M27" s="251">
        <v>62441</v>
      </c>
      <c r="N27" s="251">
        <v>64607.999999999993</v>
      </c>
      <c r="O27" s="251">
        <v>66654</v>
      </c>
      <c r="P27" s="251">
        <v>72140</v>
      </c>
      <c r="Q27" s="251">
        <v>67252</v>
      </c>
      <c r="R27" s="251">
        <v>77587.409672803857</v>
      </c>
      <c r="S27" s="251">
        <v>72924.724499999997</v>
      </c>
      <c r="T27" s="251">
        <v>67495</v>
      </c>
      <c r="U27" s="251">
        <v>65767</v>
      </c>
      <c r="V27" s="251">
        <v>67446</v>
      </c>
      <c r="W27" s="251">
        <v>68252.03353934802</v>
      </c>
      <c r="X27" s="251">
        <v>63185.607400348017</v>
      </c>
      <c r="Y27" s="251">
        <v>49838.001173352997</v>
      </c>
      <c r="Z27" s="251">
        <v>48988.563850735023</v>
      </c>
      <c r="AA27" s="251">
        <v>48989</v>
      </c>
      <c r="AB27" s="251">
        <v>54784.754662270992</v>
      </c>
      <c r="AC27" s="251">
        <v>58830</v>
      </c>
      <c r="AD27" s="251">
        <v>51563</v>
      </c>
      <c r="AE27" s="251">
        <v>50480</v>
      </c>
      <c r="AF27" s="251">
        <v>48955</v>
      </c>
      <c r="AG27" s="251">
        <v>43006</v>
      </c>
      <c r="AH27" s="251">
        <v>51551</v>
      </c>
      <c r="AI27" s="251">
        <v>53290</v>
      </c>
      <c r="AJ27" s="251">
        <v>53558</v>
      </c>
      <c r="AK27" s="251">
        <v>46058</v>
      </c>
      <c r="AL27" s="251">
        <v>56047</v>
      </c>
      <c r="AM27" s="251">
        <v>49617</v>
      </c>
      <c r="AN27" s="251">
        <v>45826</v>
      </c>
      <c r="AO27" s="251">
        <v>36377</v>
      </c>
      <c r="AP27" s="251">
        <v>47707</v>
      </c>
      <c r="AQ27" s="251">
        <v>50350</v>
      </c>
      <c r="AR27" s="251">
        <v>49846</v>
      </c>
      <c r="AS27" s="251">
        <v>40562</v>
      </c>
      <c r="AT27" s="251">
        <v>44933</v>
      </c>
      <c r="AU27" s="251">
        <v>47751</v>
      </c>
      <c r="AV27" s="251">
        <v>47595</v>
      </c>
      <c r="AW27" s="251">
        <v>39815</v>
      </c>
      <c r="AX27" s="251">
        <v>52163</v>
      </c>
      <c r="AY27" s="251">
        <v>55927</v>
      </c>
      <c r="AZ27" s="251">
        <v>55099</v>
      </c>
      <c r="BA27" s="251">
        <v>47277</v>
      </c>
      <c r="BB27" s="251">
        <v>50768</v>
      </c>
      <c r="BC27" s="251">
        <v>56452</v>
      </c>
      <c r="BD27" s="150"/>
      <c r="BE27" s="2"/>
    </row>
    <row r="28" spans="1:57">
      <c r="A28" s="2"/>
      <c r="B28" s="149" t="s">
        <v>252</v>
      </c>
      <c r="C28" s="149"/>
      <c r="D28" s="149"/>
      <c r="E28" s="251">
        <v>20300</v>
      </c>
      <c r="F28" s="251">
        <v>22938</v>
      </c>
      <c r="G28" s="251">
        <v>17900</v>
      </c>
      <c r="H28" s="251">
        <v>27085</v>
      </c>
      <c r="I28" s="251">
        <v>17295</v>
      </c>
      <c r="J28" s="251">
        <v>37835</v>
      </c>
      <c r="K28" s="251">
        <v>30819</v>
      </c>
      <c r="L28" s="251">
        <v>25378</v>
      </c>
      <c r="M28" s="251">
        <v>49808</v>
      </c>
      <c r="N28" s="251">
        <v>20368</v>
      </c>
      <c r="O28" s="251">
        <v>15941</v>
      </c>
      <c r="P28" s="251">
        <v>25378</v>
      </c>
      <c r="Q28" s="251">
        <v>11719</v>
      </c>
      <c r="R28" s="251">
        <v>37414</v>
      </c>
      <c r="S28" s="251">
        <v>21637</v>
      </c>
      <c r="T28" s="251">
        <v>21339</v>
      </c>
      <c r="U28" s="251">
        <v>37087</v>
      </c>
      <c r="V28" s="251">
        <v>20477</v>
      </c>
      <c r="W28" s="251">
        <v>21677</v>
      </c>
      <c r="X28" s="251">
        <v>13165</v>
      </c>
      <c r="Y28" s="251">
        <v>12817</v>
      </c>
      <c r="Z28" s="251">
        <v>16514</v>
      </c>
      <c r="AA28" s="251">
        <v>16419</v>
      </c>
      <c r="AB28" s="251">
        <v>18293</v>
      </c>
      <c r="AC28" s="251">
        <v>47886</v>
      </c>
      <c r="AD28" s="251">
        <v>51331</v>
      </c>
      <c r="AE28" s="251">
        <v>61386</v>
      </c>
      <c r="AF28" s="251">
        <v>64919</v>
      </c>
      <c r="AG28" s="251">
        <v>62121</v>
      </c>
      <c r="AH28" s="251">
        <v>57104</v>
      </c>
      <c r="AI28" s="251">
        <v>106957</v>
      </c>
      <c r="AJ28" s="251">
        <v>102060</v>
      </c>
      <c r="AK28" s="251">
        <v>135507</v>
      </c>
      <c r="AL28" s="251">
        <v>129213</v>
      </c>
      <c r="AM28" s="251">
        <v>105241</v>
      </c>
      <c r="AN28" s="251">
        <v>98345</v>
      </c>
      <c r="AO28" s="251">
        <v>80859</v>
      </c>
      <c r="AP28" s="251">
        <v>84917</v>
      </c>
      <c r="AQ28" s="251">
        <v>61707</v>
      </c>
      <c r="AR28" s="251">
        <v>73015</v>
      </c>
      <c r="AS28" s="251">
        <v>60959</v>
      </c>
      <c r="AT28" s="251">
        <v>75849</v>
      </c>
      <c r="AU28" s="251">
        <v>64942</v>
      </c>
      <c r="AV28" s="251">
        <v>60727</v>
      </c>
      <c r="AW28" s="251">
        <v>71794</v>
      </c>
      <c r="AX28" s="251">
        <v>58799</v>
      </c>
      <c r="AY28" s="251">
        <v>43656</v>
      </c>
      <c r="AZ28" s="251">
        <v>55169</v>
      </c>
      <c r="BA28" s="251">
        <v>69155.362636710008</v>
      </c>
      <c r="BB28" s="251">
        <v>50178.834899000001</v>
      </c>
      <c r="BC28" s="251">
        <v>47379.924448999998</v>
      </c>
      <c r="BD28" s="150"/>
      <c r="BE28" s="2"/>
    </row>
    <row r="29" spans="1:57">
      <c r="A29" s="2"/>
      <c r="B29" s="153" t="s">
        <v>253</v>
      </c>
      <c r="C29" s="153"/>
      <c r="D29" s="153"/>
      <c r="E29" s="251"/>
      <c r="F29" s="251"/>
      <c r="G29" s="251"/>
      <c r="H29" s="251"/>
      <c r="I29" s="251"/>
      <c r="J29" s="251"/>
      <c r="K29" s="251"/>
      <c r="L29" s="251"/>
      <c r="M29" s="251"/>
      <c r="N29" s="251"/>
      <c r="O29" s="251"/>
      <c r="P29" s="251"/>
      <c r="Q29" s="251"/>
      <c r="R29" s="251"/>
      <c r="S29" s="251"/>
      <c r="T29" s="251">
        <v>22114</v>
      </c>
      <c r="U29" s="251">
        <v>13900</v>
      </c>
      <c r="V29" s="251">
        <v>15676</v>
      </c>
      <c r="W29" s="251">
        <v>1384</v>
      </c>
      <c r="X29" s="251">
        <v>1679</v>
      </c>
      <c r="Y29" s="251">
        <v>3360</v>
      </c>
      <c r="Z29" s="251">
        <v>3639</v>
      </c>
      <c r="AA29" s="251">
        <v>2764</v>
      </c>
      <c r="AB29" s="251">
        <v>2078</v>
      </c>
      <c r="AC29" s="251">
        <v>18820</v>
      </c>
      <c r="AD29" s="251">
        <v>18872</v>
      </c>
      <c r="AE29" s="251">
        <v>0</v>
      </c>
      <c r="AF29" s="251">
        <v>0</v>
      </c>
      <c r="AG29" s="251">
        <v>18934</v>
      </c>
      <c r="AH29" s="251">
        <v>18972</v>
      </c>
      <c r="AI29" s="251">
        <v>20780</v>
      </c>
      <c r="AJ29" s="251">
        <v>23968</v>
      </c>
      <c r="AK29" s="251">
        <v>23420</v>
      </c>
      <c r="AL29" s="251">
        <v>28219</v>
      </c>
      <c r="AM29" s="251">
        <v>29496</v>
      </c>
      <c r="AN29" s="251">
        <v>33890</v>
      </c>
      <c r="AO29" s="251">
        <v>53802</v>
      </c>
      <c r="AP29" s="251">
        <v>42444</v>
      </c>
      <c r="AQ29" s="251">
        <v>58075</v>
      </c>
      <c r="AR29" s="251">
        <v>68564</v>
      </c>
      <c r="AS29" s="251">
        <v>73984</v>
      </c>
      <c r="AT29" s="251">
        <v>59326</v>
      </c>
      <c r="AU29" s="251">
        <v>53951</v>
      </c>
      <c r="AV29" s="251">
        <v>57307</v>
      </c>
      <c r="AW29" s="251">
        <v>62392</v>
      </c>
      <c r="AX29" s="251">
        <v>91797</v>
      </c>
      <c r="AY29" s="251">
        <v>99098</v>
      </c>
      <c r="AZ29" s="251">
        <v>114012</v>
      </c>
      <c r="BA29" s="251">
        <v>94244</v>
      </c>
      <c r="BB29" s="251">
        <v>72406</v>
      </c>
      <c r="BC29" s="251">
        <v>75010</v>
      </c>
      <c r="BD29" s="150"/>
      <c r="BE29" s="2"/>
    </row>
    <row r="30" spans="1:57">
      <c r="A30" s="2"/>
      <c r="B30" s="149" t="s">
        <v>246</v>
      </c>
      <c r="C30" s="149"/>
      <c r="D30" s="149"/>
      <c r="E30" s="251">
        <v>32621</v>
      </c>
      <c r="F30" s="251">
        <v>36810</v>
      </c>
      <c r="G30" s="251">
        <v>37537</v>
      </c>
      <c r="H30" s="251">
        <v>37670</v>
      </c>
      <c r="I30" s="251">
        <v>33133.792159999997</v>
      </c>
      <c r="J30" s="251">
        <v>32605.714448999999</v>
      </c>
      <c r="K30" s="251">
        <v>33599</v>
      </c>
      <c r="L30" s="251">
        <v>30545</v>
      </c>
      <c r="M30" s="251">
        <v>29656</v>
      </c>
      <c r="N30" s="251">
        <v>38159.883238000002</v>
      </c>
      <c r="O30" s="251">
        <v>37931</v>
      </c>
      <c r="P30" s="251">
        <v>36118</v>
      </c>
      <c r="Q30" s="251">
        <v>31827.5</v>
      </c>
      <c r="R30" s="251">
        <v>37372.5</v>
      </c>
      <c r="S30" s="251">
        <v>47663</v>
      </c>
      <c r="T30" s="251">
        <v>0</v>
      </c>
      <c r="U30" s="251">
        <v>0</v>
      </c>
      <c r="V30" s="251">
        <v>0</v>
      </c>
      <c r="W30" s="251">
        <v>0</v>
      </c>
      <c r="X30" s="251">
        <v>0</v>
      </c>
      <c r="Y30" s="251">
        <v>0</v>
      </c>
      <c r="Z30" s="251">
        <v>0</v>
      </c>
      <c r="AA30" s="251"/>
      <c r="AB30" s="251">
        <v>0</v>
      </c>
      <c r="AC30" s="251">
        <v>0</v>
      </c>
      <c r="AD30" s="251">
        <v>0</v>
      </c>
      <c r="AE30" s="251">
        <v>0</v>
      </c>
      <c r="AF30" s="251">
        <v>0</v>
      </c>
      <c r="AG30" s="251">
        <v>0</v>
      </c>
      <c r="AH30" s="251"/>
      <c r="AI30" s="251"/>
      <c r="AJ30" s="251"/>
      <c r="AK30" s="251"/>
      <c r="AL30" s="251"/>
      <c r="AM30" s="251"/>
      <c r="AN30" s="251"/>
      <c r="AO30" s="251"/>
      <c r="AP30" s="251"/>
      <c r="AQ30" s="251"/>
      <c r="AR30" s="251"/>
      <c r="AS30" s="251"/>
      <c r="AT30" s="251"/>
      <c r="AU30" s="251"/>
      <c r="AV30" s="251"/>
      <c r="AW30" s="251"/>
      <c r="AX30" s="251"/>
      <c r="AY30" s="251"/>
      <c r="AZ30" s="251"/>
      <c r="BA30" s="251"/>
      <c r="BB30" s="251"/>
      <c r="BC30" s="251"/>
      <c r="BD30" s="150"/>
      <c r="BE30" s="2"/>
    </row>
    <row r="31" spans="1:57">
      <c r="A31" s="2"/>
      <c r="B31" s="149" t="s">
        <v>254</v>
      </c>
      <c r="C31" s="149"/>
      <c r="D31" s="149"/>
      <c r="E31" s="251"/>
      <c r="F31" s="251"/>
      <c r="G31" s="251"/>
      <c r="H31" s="251"/>
      <c r="I31" s="251"/>
      <c r="J31" s="251"/>
      <c r="K31" s="251"/>
      <c r="L31" s="251"/>
      <c r="M31" s="251"/>
      <c r="N31" s="251"/>
      <c r="O31" s="251">
        <v>0</v>
      </c>
      <c r="P31" s="251">
        <v>0</v>
      </c>
      <c r="Q31" s="251">
        <v>0</v>
      </c>
      <c r="R31" s="251">
        <v>69969.090327196143</v>
      </c>
      <c r="S31" s="251">
        <v>22845.2755</v>
      </c>
      <c r="T31" s="251">
        <v>0</v>
      </c>
      <c r="U31" s="251">
        <v>0</v>
      </c>
      <c r="V31" s="251">
        <v>0</v>
      </c>
      <c r="W31" s="251">
        <v>0</v>
      </c>
      <c r="X31" s="251">
        <v>0</v>
      </c>
      <c r="Y31" s="251">
        <v>0</v>
      </c>
      <c r="Z31" s="251">
        <v>0</v>
      </c>
      <c r="AA31" s="251"/>
      <c r="AB31" s="251">
        <v>0</v>
      </c>
      <c r="AC31" s="251">
        <v>0</v>
      </c>
      <c r="AD31" s="251">
        <v>0</v>
      </c>
      <c r="AE31" s="251">
        <v>0</v>
      </c>
      <c r="AF31" s="251">
        <v>0</v>
      </c>
      <c r="AG31" s="251">
        <v>0</v>
      </c>
      <c r="AH31" s="251"/>
      <c r="AI31" s="251"/>
      <c r="AJ31" s="251">
        <v>0</v>
      </c>
      <c r="AK31" s="251"/>
      <c r="AL31" s="251"/>
      <c r="AM31" s="251">
        <v>0</v>
      </c>
      <c r="AN31" s="251"/>
      <c r="AO31" s="251"/>
      <c r="AP31" s="251"/>
      <c r="AQ31" s="251"/>
      <c r="AR31" s="251"/>
      <c r="AS31" s="251"/>
      <c r="AT31" s="251"/>
      <c r="AU31" s="251"/>
      <c r="AV31" s="251"/>
      <c r="AW31" s="251"/>
      <c r="AX31" s="251"/>
      <c r="AY31" s="251"/>
      <c r="AZ31" s="251"/>
      <c r="BA31" s="251"/>
      <c r="BB31" s="251"/>
      <c r="BC31" s="251"/>
      <c r="BD31" s="150"/>
      <c r="BE31" s="2"/>
    </row>
    <row r="32" spans="1:57">
      <c r="A32" s="2"/>
      <c r="B32" s="149" t="s">
        <v>255</v>
      </c>
      <c r="C32" s="149"/>
      <c r="D32" s="149"/>
      <c r="E32" s="251"/>
      <c r="F32" s="251"/>
      <c r="G32" s="251"/>
      <c r="H32" s="251"/>
      <c r="I32" s="251"/>
      <c r="J32" s="251"/>
      <c r="K32" s="251"/>
      <c r="L32" s="251"/>
      <c r="M32" s="251"/>
      <c r="N32" s="251"/>
      <c r="O32" s="251"/>
      <c r="P32" s="251"/>
      <c r="Q32" s="251"/>
      <c r="R32" s="251"/>
      <c r="S32" s="251"/>
      <c r="T32" s="251">
        <v>20957</v>
      </c>
      <c r="U32" s="251">
        <v>21782</v>
      </c>
      <c r="V32" s="251">
        <v>17789</v>
      </c>
      <c r="W32" s="251">
        <v>20402</v>
      </c>
      <c r="X32" s="251">
        <v>18809</v>
      </c>
      <c r="Y32" s="251">
        <v>52105</v>
      </c>
      <c r="Z32" s="251">
        <v>29922</v>
      </c>
      <c r="AA32" s="251">
        <v>39845</v>
      </c>
      <c r="AB32" s="251">
        <v>41295</v>
      </c>
      <c r="AC32" s="251">
        <v>27462</v>
      </c>
      <c r="AD32" s="251">
        <v>31815</v>
      </c>
      <c r="AE32" s="251">
        <v>29631</v>
      </c>
      <c r="AF32" s="251">
        <v>20493</v>
      </c>
      <c r="AG32" s="251">
        <v>20769</v>
      </c>
      <c r="AH32" s="251">
        <v>20296</v>
      </c>
      <c r="AI32" s="251">
        <v>200533</v>
      </c>
      <c r="AJ32" s="251">
        <v>202421</v>
      </c>
      <c r="AK32" s="251">
        <v>213315</v>
      </c>
      <c r="AL32" s="251">
        <v>182764</v>
      </c>
      <c r="AM32" s="251">
        <v>188509</v>
      </c>
      <c r="AN32" s="251">
        <v>191703</v>
      </c>
      <c r="AO32" s="251">
        <v>192448</v>
      </c>
      <c r="AP32" s="251">
        <v>198115</v>
      </c>
      <c r="AQ32" s="251">
        <v>201740</v>
      </c>
      <c r="AR32" s="251">
        <v>208794</v>
      </c>
      <c r="AS32" s="251">
        <v>215258</v>
      </c>
      <c r="AT32" s="251">
        <v>221973</v>
      </c>
      <c r="AU32" s="251">
        <v>229111</v>
      </c>
      <c r="AV32" s="251">
        <v>230505</v>
      </c>
      <c r="AW32" s="251">
        <v>222148</v>
      </c>
      <c r="AX32" s="251">
        <v>229207</v>
      </c>
      <c r="AY32" s="251">
        <v>233981</v>
      </c>
      <c r="AZ32" s="251">
        <v>239380</v>
      </c>
      <c r="BA32" s="251">
        <v>250712</v>
      </c>
      <c r="BB32" s="251">
        <v>243727</v>
      </c>
      <c r="BC32" s="251">
        <v>247159</v>
      </c>
      <c r="BD32" s="150"/>
      <c r="BE32" s="2"/>
    </row>
    <row r="33" spans="1:58">
      <c r="A33" s="2"/>
      <c r="B33" s="149" t="s">
        <v>256</v>
      </c>
      <c r="C33" s="149"/>
      <c r="D33" s="149"/>
      <c r="E33" s="251">
        <v>9049</v>
      </c>
      <c r="F33" s="251">
        <v>8968.1733960000001</v>
      </c>
      <c r="G33" s="251">
        <v>7103.9493900000016</v>
      </c>
      <c r="H33" s="251">
        <v>11584.055184000001</v>
      </c>
      <c r="I33" s="251">
        <v>12040.358515000002</v>
      </c>
      <c r="J33" s="251">
        <v>6441.263742000001</v>
      </c>
      <c r="K33" s="251">
        <v>6404.27682</v>
      </c>
      <c r="L33" s="251">
        <v>6185</v>
      </c>
      <c r="M33" s="251">
        <v>9318.7083480000001</v>
      </c>
      <c r="N33" s="251">
        <v>5584.2209030000004</v>
      </c>
      <c r="O33" s="251">
        <v>6000.2788349999992</v>
      </c>
      <c r="P33" s="251">
        <v>7400.8693949999997</v>
      </c>
      <c r="Q33" s="251">
        <v>5750.1818469999998</v>
      </c>
      <c r="R33" s="251">
        <v>4485.2848409999997</v>
      </c>
      <c r="S33" s="251">
        <v>7875.5875449999976</v>
      </c>
      <c r="T33" s="251">
        <v>11903.220332000001</v>
      </c>
      <c r="U33" s="251">
        <v>11570.203849</v>
      </c>
      <c r="V33" s="251">
        <v>7476.7638959999995</v>
      </c>
      <c r="W33" s="251">
        <v>8175.0985855920017</v>
      </c>
      <c r="X33" s="251">
        <v>7341.8956659340001</v>
      </c>
      <c r="Y33" s="251">
        <v>21454.337099479992</v>
      </c>
      <c r="Z33" s="251">
        <v>18550.732261240009</v>
      </c>
      <c r="AA33" s="251">
        <v>21141</v>
      </c>
      <c r="AB33" s="251">
        <v>0</v>
      </c>
      <c r="AC33" s="251">
        <v>0</v>
      </c>
      <c r="AD33" s="251">
        <v>0</v>
      </c>
      <c r="AE33" s="251">
        <v>0</v>
      </c>
      <c r="AF33" s="251">
        <v>0</v>
      </c>
      <c r="AG33" s="251">
        <v>0</v>
      </c>
      <c r="AH33" s="251"/>
      <c r="AI33" s="251"/>
      <c r="AJ33" s="251">
        <v>0</v>
      </c>
      <c r="AK33" s="251"/>
      <c r="AL33" s="251"/>
      <c r="AM33" s="251">
        <v>0</v>
      </c>
      <c r="AN33" s="251"/>
      <c r="AO33" s="251"/>
      <c r="AP33" s="251">
        <v>0</v>
      </c>
      <c r="AQ33" s="251"/>
      <c r="AR33" s="251"/>
      <c r="AS33" s="251"/>
      <c r="AT33" s="251"/>
      <c r="AU33" s="251"/>
      <c r="AV33" s="251"/>
      <c r="AW33" s="251"/>
      <c r="AX33" s="251"/>
      <c r="AY33" s="251"/>
      <c r="AZ33" s="251"/>
      <c r="BA33" s="251"/>
      <c r="BB33" s="251"/>
      <c r="BC33" s="251"/>
      <c r="BD33" s="150"/>
      <c r="BE33" s="2"/>
    </row>
    <row r="34" spans="1:58">
      <c r="A34" s="2"/>
      <c r="B34" s="149" t="s">
        <v>257</v>
      </c>
      <c r="C34" s="149"/>
      <c r="D34" s="149"/>
      <c r="E34" s="251"/>
      <c r="F34" s="251"/>
      <c r="G34" s="251"/>
      <c r="H34" s="251"/>
      <c r="I34" s="251"/>
      <c r="J34" s="251"/>
      <c r="K34" s="251"/>
      <c r="L34" s="251"/>
      <c r="M34" s="251"/>
      <c r="N34" s="251"/>
      <c r="O34" s="251"/>
      <c r="P34" s="251"/>
      <c r="Q34" s="251"/>
      <c r="R34" s="251"/>
      <c r="S34" s="251"/>
      <c r="T34" s="251">
        <v>54744</v>
      </c>
      <c r="U34" s="251">
        <v>48827</v>
      </c>
      <c r="V34" s="251">
        <v>55250</v>
      </c>
      <c r="W34" s="251">
        <v>47967</v>
      </c>
      <c r="X34" s="251">
        <v>51732</v>
      </c>
      <c r="Y34" s="251">
        <v>44105</v>
      </c>
      <c r="Z34" s="251">
        <v>68956</v>
      </c>
      <c r="AA34" s="251">
        <v>96044</v>
      </c>
      <c r="AB34" s="251">
        <v>103662</v>
      </c>
      <c r="AC34" s="251">
        <v>103380</v>
      </c>
      <c r="AD34" s="251">
        <v>123129</v>
      </c>
      <c r="AE34" s="251">
        <v>139207</v>
      </c>
      <c r="AF34" s="251">
        <v>147022</v>
      </c>
      <c r="AG34" s="251">
        <v>137995</v>
      </c>
      <c r="AH34" s="251">
        <v>137851</v>
      </c>
      <c r="AI34" s="251">
        <v>154658</v>
      </c>
      <c r="AJ34" s="251">
        <v>163795</v>
      </c>
      <c r="AK34" s="251">
        <v>210453</v>
      </c>
      <c r="AL34" s="251">
        <v>203929</v>
      </c>
      <c r="AM34" s="251">
        <v>154600</v>
      </c>
      <c r="AN34" s="251">
        <v>133030</v>
      </c>
      <c r="AO34" s="251">
        <v>143262</v>
      </c>
      <c r="AP34" s="251">
        <v>140772</v>
      </c>
      <c r="AQ34" s="251">
        <v>138239</v>
      </c>
      <c r="AR34" s="251">
        <v>132449</v>
      </c>
      <c r="AS34" s="251">
        <v>120902</v>
      </c>
      <c r="AT34" s="251">
        <v>110538</v>
      </c>
      <c r="AU34" s="251">
        <v>121526</v>
      </c>
      <c r="AV34" s="251">
        <v>128943</v>
      </c>
      <c r="AW34" s="251">
        <v>131819</v>
      </c>
      <c r="AX34" s="251">
        <v>131985</v>
      </c>
      <c r="AY34" s="251">
        <v>125639</v>
      </c>
      <c r="AZ34" s="251">
        <v>118202</v>
      </c>
      <c r="BA34" s="251">
        <v>118678</v>
      </c>
      <c r="BB34" s="251">
        <v>121703</v>
      </c>
      <c r="BC34" s="251">
        <v>124119</v>
      </c>
      <c r="BD34" s="150"/>
      <c r="BE34" s="2"/>
    </row>
    <row r="35" spans="1:58" ht="16.2" customHeight="1">
      <c r="A35" s="2"/>
      <c r="B35" s="149" t="s">
        <v>258</v>
      </c>
      <c r="C35" s="149"/>
      <c r="D35" s="149"/>
      <c r="E35" s="251"/>
      <c r="F35" s="251"/>
      <c r="G35" s="251"/>
      <c r="H35" s="251"/>
      <c r="I35" s="251"/>
      <c r="J35" s="251">
        <v>0</v>
      </c>
      <c r="K35" s="251">
        <v>0</v>
      </c>
      <c r="L35" s="251">
        <v>0</v>
      </c>
      <c r="M35" s="251">
        <v>0</v>
      </c>
      <c r="N35" s="251">
        <v>14731.116762</v>
      </c>
      <c r="O35" s="251">
        <v>30875.344125</v>
      </c>
      <c r="P35" s="251">
        <v>52489.804708000003</v>
      </c>
      <c r="Q35" s="251">
        <v>45645.146694000003</v>
      </c>
      <c r="R35" s="251">
        <v>12233.218169</v>
      </c>
      <c r="S35" s="251">
        <v>5905.8167789999998</v>
      </c>
      <c r="T35" s="251">
        <v>3737</v>
      </c>
      <c r="U35" s="251">
        <v>7002</v>
      </c>
      <c r="V35" s="251">
        <v>11312</v>
      </c>
      <c r="W35" s="251">
        <v>3022</v>
      </c>
      <c r="X35" s="251">
        <v>2914</v>
      </c>
      <c r="Y35" s="251">
        <v>0</v>
      </c>
      <c r="Z35" s="251">
        <v>0</v>
      </c>
      <c r="AA35" s="251"/>
      <c r="AB35" s="251">
        <v>0</v>
      </c>
      <c r="AC35" s="251">
        <v>0</v>
      </c>
      <c r="AD35" s="251">
        <v>0</v>
      </c>
      <c r="AE35" s="251">
        <v>0</v>
      </c>
      <c r="AF35" s="251">
        <v>0</v>
      </c>
      <c r="AG35" s="251">
        <v>0</v>
      </c>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150"/>
      <c r="BE35" s="2"/>
    </row>
    <row r="36" spans="1:58" ht="16.2" customHeight="1">
      <c r="A36" s="2"/>
      <c r="B36" s="146"/>
      <c r="C36" s="146"/>
      <c r="D36" s="146"/>
      <c r="E36" s="251"/>
      <c r="F36" s="251"/>
      <c r="G36" s="251"/>
      <c r="H36" s="251"/>
      <c r="I36" s="251"/>
      <c r="J36" s="251"/>
      <c r="K36" s="251"/>
      <c r="L36" s="251"/>
      <c r="M36" s="251"/>
      <c r="N36" s="251"/>
      <c r="O36" s="251"/>
      <c r="P36" s="251"/>
      <c r="Q36" s="251"/>
      <c r="R36" s="251"/>
      <c r="S36" s="251"/>
      <c r="T36" s="251">
        <v>0</v>
      </c>
      <c r="U36" s="251">
        <v>0</v>
      </c>
      <c r="V36" s="251">
        <v>0</v>
      </c>
      <c r="W36" s="251">
        <v>0</v>
      </c>
      <c r="X36" s="251">
        <v>0</v>
      </c>
      <c r="Y36" s="251">
        <v>0</v>
      </c>
      <c r="Z36" s="251">
        <v>0</v>
      </c>
      <c r="AA36" s="251"/>
      <c r="AB36" s="251">
        <v>0</v>
      </c>
      <c r="AC36" s="251">
        <v>0</v>
      </c>
      <c r="AD36" s="251">
        <v>0</v>
      </c>
      <c r="AE36" s="251">
        <v>0</v>
      </c>
      <c r="AF36" s="251">
        <v>0</v>
      </c>
      <c r="AG36" s="251">
        <v>0</v>
      </c>
      <c r="AH36" s="251">
        <v>0</v>
      </c>
      <c r="AI36" s="251"/>
      <c r="AJ36" s="251"/>
      <c r="AK36" s="251"/>
      <c r="AL36" s="251"/>
      <c r="AM36" s="251"/>
      <c r="AN36" s="251"/>
      <c r="AO36" s="251"/>
      <c r="AP36" s="251"/>
      <c r="AQ36" s="251"/>
      <c r="AR36" s="251"/>
      <c r="AS36" s="251"/>
      <c r="AT36" s="251"/>
      <c r="AU36" s="251"/>
      <c r="AV36" s="251"/>
      <c r="AW36" s="251"/>
      <c r="AX36" s="251"/>
      <c r="AY36" s="251"/>
      <c r="AZ36" s="251"/>
      <c r="BA36" s="251"/>
      <c r="BB36" s="251"/>
      <c r="BC36" s="251"/>
      <c r="BD36" s="150"/>
      <c r="BE36" s="2"/>
    </row>
    <row r="37" spans="1:58" ht="16.2" customHeight="1">
      <c r="A37" s="2"/>
      <c r="B37" s="146"/>
      <c r="C37" s="146"/>
      <c r="D37" s="146"/>
      <c r="E37" s="251"/>
      <c r="F37" s="251"/>
      <c r="G37" s="251"/>
      <c r="H37" s="251"/>
      <c r="I37" s="251"/>
      <c r="J37" s="251"/>
      <c r="K37" s="251"/>
      <c r="L37" s="251"/>
      <c r="M37" s="251"/>
      <c r="N37" s="251"/>
      <c r="O37" s="251"/>
      <c r="P37" s="251"/>
      <c r="Q37" s="251"/>
      <c r="R37" s="251"/>
      <c r="S37" s="251"/>
      <c r="T37" s="251">
        <v>0</v>
      </c>
      <c r="U37" s="251">
        <v>0</v>
      </c>
      <c r="V37" s="251">
        <v>0</v>
      </c>
      <c r="W37" s="251">
        <v>0</v>
      </c>
      <c r="X37" s="251">
        <v>0</v>
      </c>
      <c r="Y37" s="251">
        <v>0</v>
      </c>
      <c r="Z37" s="251">
        <v>0</v>
      </c>
      <c r="AA37" s="251"/>
      <c r="AB37" s="251">
        <v>0</v>
      </c>
      <c r="AC37" s="251">
        <v>0</v>
      </c>
      <c r="AD37" s="251">
        <v>0</v>
      </c>
      <c r="AE37" s="251">
        <v>0</v>
      </c>
      <c r="AF37" s="251">
        <v>0</v>
      </c>
      <c r="AG37" s="251">
        <v>0</v>
      </c>
      <c r="AH37" s="251">
        <v>0</v>
      </c>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150"/>
      <c r="BE37" s="105"/>
      <c r="BF37" s="72"/>
    </row>
    <row r="38" spans="1:58" ht="16.2" customHeight="1">
      <c r="A38" s="2"/>
      <c r="B38" s="146"/>
      <c r="C38" s="146"/>
      <c r="D38" s="146"/>
      <c r="E38" s="251"/>
      <c r="F38" s="251"/>
      <c r="G38" s="251"/>
      <c r="H38" s="251"/>
      <c r="I38" s="251"/>
      <c r="J38" s="251"/>
      <c r="K38" s="251"/>
      <c r="L38" s="251"/>
      <c r="M38" s="251"/>
      <c r="N38" s="251"/>
      <c r="O38" s="251"/>
      <c r="P38" s="251"/>
      <c r="Q38" s="251"/>
      <c r="R38" s="251"/>
      <c r="S38" s="251"/>
      <c r="T38" s="251">
        <v>0</v>
      </c>
      <c r="U38" s="251">
        <v>0</v>
      </c>
      <c r="V38" s="251">
        <v>0</v>
      </c>
      <c r="W38" s="251">
        <v>0</v>
      </c>
      <c r="X38" s="251">
        <v>0</v>
      </c>
      <c r="Y38" s="251">
        <v>0</v>
      </c>
      <c r="Z38" s="251">
        <v>0</v>
      </c>
      <c r="AA38" s="251"/>
      <c r="AB38" s="251">
        <v>0</v>
      </c>
      <c r="AC38" s="251">
        <v>0</v>
      </c>
      <c r="AD38" s="251">
        <v>0</v>
      </c>
      <c r="AE38" s="251">
        <v>0</v>
      </c>
      <c r="AF38" s="251">
        <v>0</v>
      </c>
      <c r="AG38" s="251">
        <v>0</v>
      </c>
      <c r="AH38" s="251"/>
      <c r="AI38" s="251"/>
      <c r="AJ38" s="251"/>
      <c r="AK38" s="251"/>
      <c r="AL38" s="251"/>
      <c r="AM38" s="251"/>
      <c r="AN38" s="251"/>
      <c r="AO38" s="251"/>
      <c r="AP38" s="251"/>
      <c r="AQ38" s="251"/>
      <c r="AR38" s="251"/>
      <c r="AS38" s="251"/>
      <c r="AT38" s="251"/>
      <c r="AU38" s="251"/>
      <c r="AV38" s="251"/>
      <c r="AW38" s="251"/>
      <c r="AX38" s="251"/>
      <c r="AY38" s="251"/>
      <c r="AZ38" s="251"/>
      <c r="BA38" s="251"/>
      <c r="BB38" s="251"/>
      <c r="BC38" s="251"/>
      <c r="BD38" s="150"/>
      <c r="BE38" s="105"/>
      <c r="BF38" s="72"/>
    </row>
    <row r="39" spans="1:58" ht="16.2" customHeight="1">
      <c r="A39" s="2"/>
      <c r="B39" s="587" t="s">
        <v>250</v>
      </c>
      <c r="C39" s="587"/>
      <c r="D39" s="587"/>
      <c r="E39" s="263">
        <v>148084.21035100002</v>
      </c>
      <c r="F39" s="263">
        <v>177655.122248</v>
      </c>
      <c r="G39" s="263">
        <v>160148.14377299999</v>
      </c>
      <c r="H39" s="263">
        <v>230277.31363599998</v>
      </c>
      <c r="I39" s="263">
        <v>202903.65419200002</v>
      </c>
      <c r="J39" s="263">
        <f t="shared" ref="J39:M39" si="0">SUM(J23:J38)</f>
        <v>256369.67152</v>
      </c>
      <c r="K39" s="263">
        <f t="shared" si="0"/>
        <v>191678.27682</v>
      </c>
      <c r="L39" s="263">
        <f t="shared" si="0"/>
        <v>223205</v>
      </c>
      <c r="M39" s="263">
        <f t="shared" si="0"/>
        <v>223856.70834800001</v>
      </c>
      <c r="N39" s="263">
        <f>SUM(N23:N38)</f>
        <v>242973.22090300001</v>
      </c>
      <c r="O39" s="263">
        <v>243391.62296000001</v>
      </c>
      <c r="P39" s="263">
        <v>267435.67410299997</v>
      </c>
      <c r="Q39" s="263">
        <v>267655.20069899998</v>
      </c>
      <c r="R39" s="263">
        <v>343910.15964199998</v>
      </c>
      <c r="S39" s="263">
        <v>268687.207574</v>
      </c>
      <c r="T39" s="263">
        <v>222076</v>
      </c>
      <c r="U39" s="263">
        <v>228551</v>
      </c>
      <c r="V39" s="263">
        <v>246489</v>
      </c>
      <c r="W39" s="263">
        <v>190671</v>
      </c>
      <c r="X39" s="263">
        <v>181576</v>
      </c>
      <c r="Y39" s="263">
        <v>203150</v>
      </c>
      <c r="Z39" s="263">
        <v>218228.43612084104</v>
      </c>
      <c r="AA39" s="263"/>
      <c r="AB39" s="263">
        <v>256640.56873130699</v>
      </c>
      <c r="AC39" s="263">
        <v>334990</v>
      </c>
      <c r="AD39" s="263">
        <v>356194</v>
      </c>
      <c r="AE39" s="263">
        <v>356194</v>
      </c>
      <c r="AF39" s="263">
        <v>356194</v>
      </c>
      <c r="AG39" s="263">
        <v>356194</v>
      </c>
      <c r="AH39" s="263">
        <v>356194</v>
      </c>
      <c r="AI39" s="263">
        <v>356194</v>
      </c>
      <c r="AJ39" s="263">
        <v>738462</v>
      </c>
      <c r="AK39" s="263"/>
      <c r="AL39" s="263"/>
      <c r="AM39" s="263">
        <v>619818</v>
      </c>
      <c r="AN39" s="263"/>
      <c r="AO39" s="263"/>
      <c r="AP39" s="263">
        <v>515925</v>
      </c>
      <c r="AQ39" s="263">
        <v>580743</v>
      </c>
      <c r="AR39" s="263">
        <v>580743</v>
      </c>
      <c r="AS39" s="263"/>
      <c r="AT39" s="263"/>
      <c r="AU39" s="263"/>
      <c r="AV39" s="263"/>
      <c r="AW39" s="263"/>
      <c r="AX39" s="263">
        <v>645466</v>
      </c>
      <c r="AY39" s="263">
        <v>579928</v>
      </c>
      <c r="AZ39" s="263">
        <v>642882</v>
      </c>
      <c r="BA39" s="263">
        <v>582761.36263671005</v>
      </c>
      <c r="BB39" s="263">
        <v>548857.83489900001</v>
      </c>
      <c r="BC39" s="263">
        <v>552830.92444900004</v>
      </c>
      <c r="BD39" s="152"/>
      <c r="BE39" s="2"/>
    </row>
    <row r="40" spans="1:58" ht="16.2" customHeight="1">
      <c r="A40" s="2"/>
      <c r="B40" s="147"/>
      <c r="C40" s="147"/>
      <c r="D40" s="147"/>
      <c r="E40" s="251"/>
      <c r="F40" s="251"/>
      <c r="G40" s="251"/>
      <c r="H40" s="251"/>
      <c r="I40" s="251"/>
      <c r="J40" s="251"/>
      <c r="K40" s="251"/>
      <c r="L40" s="251"/>
      <c r="M40" s="251"/>
      <c r="N40" s="251"/>
      <c r="O40" s="251"/>
      <c r="P40" s="251"/>
      <c r="Q40" s="251"/>
      <c r="R40" s="251"/>
      <c r="S40" s="251"/>
      <c r="T40" s="251"/>
      <c r="U40" s="251"/>
      <c r="V40" s="251"/>
      <c r="W40" s="251"/>
      <c r="X40" s="251"/>
      <c r="Y40" s="251"/>
      <c r="Z40" s="251"/>
      <c r="AA40" s="251"/>
      <c r="AB40" s="251"/>
      <c r="AC40" s="251"/>
      <c r="AD40" s="251"/>
      <c r="AE40" s="251"/>
      <c r="AF40" s="251"/>
      <c r="AG40" s="251"/>
      <c r="AH40" s="251"/>
      <c r="AI40" s="251"/>
      <c r="AJ40" s="251"/>
      <c r="AK40" s="251"/>
      <c r="AL40" s="251"/>
      <c r="AM40" s="251"/>
      <c r="AN40" s="251"/>
      <c r="AO40" s="251"/>
      <c r="AP40" s="251"/>
      <c r="AQ40" s="251"/>
      <c r="AR40" s="251"/>
      <c r="AS40" s="251"/>
      <c r="AT40" s="251"/>
      <c r="AU40" s="251"/>
      <c r="AV40" s="251"/>
      <c r="AW40" s="251"/>
      <c r="AX40" s="251"/>
      <c r="AY40" s="251"/>
      <c r="AZ40" s="251"/>
      <c r="BA40" s="251"/>
      <c r="BB40" s="251"/>
      <c r="BC40" s="251"/>
      <c r="BD40" s="150"/>
      <c r="BE40" s="2"/>
    </row>
    <row r="41" spans="1:58" ht="16.2" customHeight="1">
      <c r="A41" s="2"/>
      <c r="B41" s="147"/>
      <c r="C41" s="147"/>
      <c r="D41" s="147"/>
      <c r="E41" s="251"/>
      <c r="F41" s="251"/>
      <c r="G41" s="251"/>
      <c r="H41" s="251"/>
      <c r="I41" s="251"/>
      <c r="J41" s="251"/>
      <c r="K41" s="251"/>
      <c r="L41" s="251"/>
      <c r="M41" s="251"/>
      <c r="N41" s="251"/>
      <c r="O41" s="251"/>
      <c r="P41" s="251"/>
      <c r="Q41" s="251"/>
      <c r="R41" s="251"/>
      <c r="S41" s="251"/>
      <c r="T41" s="251"/>
      <c r="U41" s="251"/>
      <c r="V41" s="251"/>
      <c r="W41" s="251"/>
      <c r="X41" s="251"/>
      <c r="Y41" s="251"/>
      <c r="Z41" s="251"/>
      <c r="AA41" s="251"/>
      <c r="AB41" s="251"/>
      <c r="AC41" s="251"/>
      <c r="AD41" s="251"/>
      <c r="AE41" s="251"/>
      <c r="AF41" s="251"/>
      <c r="AG41" s="251"/>
      <c r="AH41" s="251"/>
      <c r="AI41" s="251"/>
      <c r="AJ41" s="251"/>
      <c r="AK41" s="251"/>
      <c r="AL41" s="251"/>
      <c r="AM41" s="251"/>
      <c r="AN41" s="251"/>
      <c r="AO41" s="251"/>
      <c r="AP41" s="251"/>
      <c r="AQ41" s="251"/>
      <c r="AR41" s="251"/>
      <c r="AS41" s="251"/>
      <c r="AT41" s="251"/>
      <c r="AU41" s="251"/>
      <c r="AV41" s="251"/>
      <c r="AW41" s="251"/>
      <c r="AX41" s="251"/>
      <c r="AY41" s="251"/>
      <c r="AZ41" s="251"/>
      <c r="BA41" s="251"/>
      <c r="BB41" s="251"/>
      <c r="BC41" s="251"/>
      <c r="BD41" s="150"/>
      <c r="BE41" s="2"/>
    </row>
    <row r="42" spans="1:58" ht="16.2" customHeight="1" thickBot="1">
      <c r="A42" s="2"/>
      <c r="B42" s="589" t="s">
        <v>259</v>
      </c>
      <c r="C42" s="589"/>
      <c r="D42" s="589"/>
      <c r="E42" s="264">
        <v>1570616.016671</v>
      </c>
      <c r="F42" s="264">
        <v>1660128.3183919999</v>
      </c>
      <c r="G42" s="264">
        <v>1619563.6684540003</v>
      </c>
      <c r="H42" s="264">
        <v>1708825.9049789999</v>
      </c>
      <c r="I42" s="264">
        <v>1673231.560697</v>
      </c>
      <c r="J42" s="264">
        <v>1781266.3938609995</v>
      </c>
      <c r="K42" s="264">
        <v>1793247.27682</v>
      </c>
      <c r="L42" s="264">
        <v>1805938</v>
      </c>
      <c r="M42" s="264">
        <v>1831771.708348</v>
      </c>
      <c r="N42" s="264">
        <v>1820725.2209030001</v>
      </c>
      <c r="O42" s="264">
        <v>1883814.442519</v>
      </c>
      <c r="P42" s="264">
        <v>1946210.6212249999</v>
      </c>
      <c r="Q42" s="264">
        <v>1957818.3052329998</v>
      </c>
      <c r="R42" s="264">
        <v>2163973.1186250001</v>
      </c>
      <c r="S42" s="264">
        <v>2117890.9452530001</v>
      </c>
      <c r="T42" s="264">
        <v>2189996</v>
      </c>
      <c r="U42" s="264">
        <v>2257231</v>
      </c>
      <c r="V42" s="264">
        <v>2251272</v>
      </c>
      <c r="W42" s="264">
        <v>2222575</v>
      </c>
      <c r="X42" s="264">
        <v>2363764</v>
      </c>
      <c r="Y42" s="264">
        <v>2327501.9783941223</v>
      </c>
      <c r="Z42" s="264">
        <v>2329271.127735327</v>
      </c>
      <c r="AA42" s="264">
        <v>2418944</v>
      </c>
      <c r="AB42" s="264">
        <v>2427084.76455021</v>
      </c>
      <c r="AC42" s="264">
        <v>2505816</v>
      </c>
      <c r="AD42" s="264">
        <v>2618537</v>
      </c>
      <c r="AE42" s="264">
        <v>2690503</v>
      </c>
      <c r="AF42" s="264">
        <v>2695114</v>
      </c>
      <c r="AG42" s="264">
        <v>2751975</v>
      </c>
      <c r="AH42" s="264">
        <v>2955932.0316314199</v>
      </c>
      <c r="AI42" s="264">
        <v>3355935.9515030626</v>
      </c>
      <c r="AJ42" s="264">
        <v>3513880.6214496</v>
      </c>
      <c r="AK42" s="264">
        <v>3607789</v>
      </c>
      <c r="AL42" s="264">
        <v>3521345</v>
      </c>
      <c r="AM42" s="264">
        <v>3403193</v>
      </c>
      <c r="AN42" s="264">
        <v>3344480</v>
      </c>
      <c r="AO42" s="264">
        <v>3460278</v>
      </c>
      <c r="AP42" s="264">
        <v>3558593</v>
      </c>
      <c r="AQ42" s="264">
        <v>3658360</v>
      </c>
      <c r="AR42" s="264">
        <v>3621940</v>
      </c>
      <c r="AS42" s="264">
        <v>3636560</v>
      </c>
      <c r="AT42" s="264">
        <v>3753160</v>
      </c>
      <c r="AU42" s="264">
        <v>4243886</v>
      </c>
      <c r="AV42" s="264">
        <v>4378397</v>
      </c>
      <c r="AW42" s="264">
        <v>4466332</v>
      </c>
      <c r="AX42" s="264">
        <v>4466002</v>
      </c>
      <c r="AY42" s="264">
        <v>4420961</v>
      </c>
      <c r="AZ42" s="264">
        <v>4456927</v>
      </c>
      <c r="BA42" s="264">
        <v>4445309.7360575199</v>
      </c>
      <c r="BB42" s="264">
        <v>4450907</v>
      </c>
      <c r="BC42" s="264">
        <v>4609821</v>
      </c>
      <c r="BD42" s="152"/>
      <c r="BE42" s="2"/>
    </row>
    <row r="43" spans="1:58" ht="13.5" customHeight="1" thickTop="1">
      <c r="A43" s="2"/>
      <c r="B43" s="147"/>
      <c r="C43" s="147"/>
      <c r="D43" s="147"/>
      <c r="E43" s="251"/>
      <c r="F43" s="251"/>
      <c r="G43" s="251"/>
      <c r="H43" s="251"/>
      <c r="I43" s="251"/>
      <c r="J43" s="251"/>
      <c r="K43" s="251"/>
      <c r="L43" s="251"/>
      <c r="M43" s="251"/>
      <c r="N43" s="251"/>
      <c r="O43" s="251"/>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1"/>
      <c r="AN43" s="251"/>
      <c r="AO43" s="251"/>
      <c r="AP43" s="251"/>
      <c r="AQ43" s="251"/>
      <c r="AR43" s="251"/>
      <c r="AS43" s="251"/>
      <c r="AT43" s="251"/>
      <c r="AU43" s="251"/>
      <c r="AV43" s="251"/>
      <c r="AW43" s="251"/>
      <c r="AX43" s="251"/>
      <c r="AY43" s="251"/>
      <c r="AZ43" s="251"/>
      <c r="BA43" s="251"/>
      <c r="BB43" s="251"/>
      <c r="BC43" s="251"/>
      <c r="BD43" s="150"/>
      <c r="BE43" s="2"/>
    </row>
    <row r="44" spans="1:58" ht="23.25" hidden="1" customHeight="1">
      <c r="A44" s="2"/>
      <c r="B44" s="146"/>
      <c r="C44" s="146"/>
      <c r="D44" s="146"/>
      <c r="E44" s="251"/>
      <c r="F44" s="251"/>
      <c r="G44" s="251"/>
      <c r="H44" s="251"/>
      <c r="I44" s="251"/>
      <c r="J44" s="251"/>
      <c r="K44" s="251"/>
      <c r="L44" s="251"/>
      <c r="M44" s="251"/>
      <c r="N44" s="251"/>
      <c r="O44" s="251"/>
      <c r="P44" s="251"/>
      <c r="Q44" s="251"/>
      <c r="R44" s="251"/>
      <c r="S44" s="251"/>
      <c r="T44" s="251"/>
      <c r="U44" s="251"/>
      <c r="V44" s="251"/>
      <c r="W44" s="251"/>
      <c r="X44" s="251"/>
      <c r="Y44" s="251"/>
      <c r="Z44" s="251"/>
      <c r="AA44" s="251"/>
      <c r="AB44" s="251"/>
      <c r="AC44" s="251"/>
      <c r="AD44" s="251"/>
      <c r="AE44" s="251"/>
      <c r="AF44" s="251"/>
      <c r="AG44" s="251"/>
      <c r="AH44" s="251"/>
      <c r="AI44" s="251"/>
      <c r="AJ44" s="251"/>
      <c r="AK44" s="251"/>
      <c r="AL44" s="251"/>
      <c r="AM44" s="251"/>
      <c r="AN44" s="251"/>
      <c r="AO44" s="251"/>
      <c r="AP44" s="251"/>
      <c r="AQ44" s="251"/>
      <c r="AR44" s="251"/>
      <c r="AS44" s="251"/>
      <c r="AT44" s="251"/>
      <c r="AU44" s="251"/>
      <c r="AV44" s="251"/>
      <c r="AW44" s="251"/>
      <c r="AX44" s="251"/>
      <c r="AY44" s="251"/>
      <c r="AZ44" s="251"/>
      <c r="BA44" s="251"/>
      <c r="BB44" s="251"/>
      <c r="BC44" s="251"/>
      <c r="BD44" s="150"/>
      <c r="BE44" s="2"/>
    </row>
    <row r="45" spans="1:58" ht="24" hidden="1" customHeight="1">
      <c r="A45" s="2"/>
      <c r="B45" s="147"/>
      <c r="C45" s="147"/>
      <c r="D45" s="147"/>
      <c r="E45" s="251"/>
      <c r="F45" s="251"/>
      <c r="G45" s="251"/>
      <c r="H45" s="251"/>
      <c r="I45" s="251"/>
      <c r="J45" s="251"/>
      <c r="K45" s="251"/>
      <c r="L45" s="251"/>
      <c r="M45" s="251"/>
      <c r="N45" s="251"/>
      <c r="O45" s="251"/>
      <c r="P45" s="251"/>
      <c r="Q45" s="251"/>
      <c r="R45" s="251"/>
      <c r="S45" s="251"/>
      <c r="T45" s="251"/>
      <c r="U45" s="251"/>
      <c r="V45" s="251"/>
      <c r="W45" s="251"/>
      <c r="X45" s="251"/>
      <c r="Y45" s="251"/>
      <c r="Z45" s="251"/>
      <c r="AA45" s="251"/>
      <c r="AB45" s="251"/>
      <c r="AC45" s="251"/>
      <c r="AD45" s="251"/>
      <c r="AE45" s="251"/>
      <c r="AF45" s="251"/>
      <c r="AG45" s="251"/>
      <c r="AH45" s="251"/>
      <c r="AI45" s="251"/>
      <c r="AJ45" s="251"/>
      <c r="AK45" s="251"/>
      <c r="AL45" s="251"/>
      <c r="AM45" s="251"/>
      <c r="AN45" s="251"/>
      <c r="AO45" s="251"/>
      <c r="AP45" s="251"/>
      <c r="AQ45" s="251"/>
      <c r="AR45" s="251"/>
      <c r="AS45" s="251"/>
      <c r="AT45" s="251"/>
      <c r="AU45" s="251"/>
      <c r="AV45" s="251"/>
      <c r="AW45" s="251"/>
      <c r="AX45" s="251"/>
      <c r="AY45" s="251"/>
      <c r="AZ45" s="251"/>
      <c r="BA45" s="251"/>
      <c r="BB45" s="251"/>
      <c r="BC45" s="251"/>
      <c r="BD45" s="150"/>
      <c r="BE45" s="2"/>
    </row>
    <row r="46" spans="1:58" ht="24" hidden="1" customHeight="1">
      <c r="A46" s="2"/>
      <c r="B46" s="147"/>
      <c r="C46" s="147"/>
      <c r="D46" s="147"/>
      <c r="E46" s="251"/>
      <c r="F46" s="251"/>
      <c r="G46" s="251"/>
      <c r="H46" s="251"/>
      <c r="I46" s="251"/>
      <c r="J46" s="251"/>
      <c r="K46" s="251"/>
      <c r="L46" s="251"/>
      <c r="M46" s="251"/>
      <c r="N46" s="251"/>
      <c r="O46" s="251"/>
      <c r="P46" s="251"/>
      <c r="Q46" s="251"/>
      <c r="R46" s="251"/>
      <c r="S46" s="251"/>
      <c r="T46" s="251"/>
      <c r="U46" s="251"/>
      <c r="V46" s="251"/>
      <c r="W46" s="251"/>
      <c r="X46" s="251"/>
      <c r="Y46" s="251"/>
      <c r="Z46" s="251"/>
      <c r="AA46" s="251"/>
      <c r="AB46" s="251"/>
      <c r="AC46" s="251"/>
      <c r="AD46" s="251"/>
      <c r="AE46" s="251"/>
      <c r="AF46" s="251"/>
      <c r="AG46" s="251"/>
      <c r="AH46" s="251"/>
      <c r="AI46" s="251"/>
      <c r="AJ46" s="251"/>
      <c r="AK46" s="251"/>
      <c r="AL46" s="251"/>
      <c r="AM46" s="251"/>
      <c r="AN46" s="251"/>
      <c r="AO46" s="251"/>
      <c r="AP46" s="251"/>
      <c r="AQ46" s="251"/>
      <c r="AR46" s="251"/>
      <c r="AS46" s="251"/>
      <c r="AT46" s="251"/>
      <c r="AU46" s="251"/>
      <c r="AV46" s="251"/>
      <c r="AW46" s="251"/>
      <c r="AX46" s="251"/>
      <c r="AY46" s="251"/>
      <c r="AZ46" s="251"/>
      <c r="BA46" s="251"/>
      <c r="BB46" s="251"/>
      <c r="BC46" s="251"/>
      <c r="BD46" s="150"/>
      <c r="BE46" s="2"/>
    </row>
    <row r="47" spans="1:58" ht="24" hidden="1" customHeight="1">
      <c r="A47" s="2"/>
      <c r="B47" s="147"/>
      <c r="C47" s="147"/>
      <c r="D47" s="147"/>
      <c r="E47" s="251"/>
      <c r="F47" s="251"/>
      <c r="G47" s="251"/>
      <c r="H47" s="251"/>
      <c r="I47" s="251"/>
      <c r="J47" s="251"/>
      <c r="K47" s="251"/>
      <c r="L47" s="251"/>
      <c r="M47" s="251"/>
      <c r="N47" s="251"/>
      <c r="O47" s="251"/>
      <c r="P47" s="251"/>
      <c r="Q47" s="251"/>
      <c r="R47" s="251"/>
      <c r="S47" s="251"/>
      <c r="T47" s="251"/>
      <c r="U47" s="251"/>
      <c r="V47" s="251"/>
      <c r="W47" s="251"/>
      <c r="X47" s="251"/>
      <c r="Y47" s="251"/>
      <c r="Z47" s="251"/>
      <c r="AA47" s="251"/>
      <c r="AB47" s="251"/>
      <c r="AC47" s="251"/>
      <c r="AD47" s="251"/>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51"/>
      <c r="BB47" s="251"/>
      <c r="BC47" s="251"/>
      <c r="BD47" s="150"/>
      <c r="BE47" s="2"/>
    </row>
    <row r="48" spans="1:58" ht="17.25" customHeight="1">
      <c r="A48" s="2"/>
      <c r="B48" s="147" t="s">
        <v>260</v>
      </c>
      <c r="C48" s="147"/>
      <c r="D48" s="147"/>
      <c r="E48" s="251"/>
      <c r="F48" s="251"/>
      <c r="G48" s="251"/>
      <c r="H48" s="251"/>
      <c r="I48" s="251"/>
      <c r="J48" s="251"/>
      <c r="K48" s="251"/>
      <c r="L48" s="251"/>
      <c r="M48" s="251"/>
      <c r="N48" s="251"/>
      <c r="O48" s="251"/>
      <c r="P48" s="251"/>
      <c r="Q48" s="251"/>
      <c r="R48" s="251"/>
      <c r="S48" s="251"/>
      <c r="T48" s="251"/>
      <c r="U48" s="251"/>
      <c r="V48" s="251"/>
      <c r="W48" s="251"/>
      <c r="X48" s="251"/>
      <c r="Y48" s="251"/>
      <c r="Z48" s="251"/>
      <c r="AA48" s="251"/>
      <c r="AB48" s="251"/>
      <c r="AC48" s="251"/>
      <c r="AD48" s="251"/>
      <c r="AE48" s="251"/>
      <c r="AF48" s="251"/>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150"/>
      <c r="BE48" s="2"/>
    </row>
    <row r="49" spans="1:57" ht="17.25" customHeight="1">
      <c r="A49" s="2"/>
      <c r="B49" s="147" t="s">
        <v>261</v>
      </c>
      <c r="C49" s="147"/>
      <c r="D49" s="147"/>
      <c r="E49" s="251"/>
      <c r="F49" s="251"/>
      <c r="G49" s="251"/>
      <c r="H49" s="251"/>
      <c r="I49" s="251"/>
      <c r="J49" s="251"/>
      <c r="K49" s="251"/>
      <c r="L49" s="251"/>
      <c r="M49" s="251"/>
      <c r="N49" s="251"/>
      <c r="O49" s="251"/>
      <c r="P49" s="251"/>
      <c r="Q49" s="251"/>
      <c r="R49" s="251"/>
      <c r="S49" s="251"/>
      <c r="T49" s="251"/>
      <c r="U49" s="251"/>
      <c r="V49" s="251"/>
      <c r="W49" s="251"/>
      <c r="X49" s="251"/>
      <c r="Y49" s="251"/>
      <c r="Z49" s="251"/>
      <c r="AA49" s="251"/>
      <c r="AB49" s="251"/>
      <c r="AC49" s="251"/>
      <c r="AD49" s="251"/>
      <c r="AE49" s="251"/>
      <c r="AF49" s="251"/>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150"/>
      <c r="BE49" s="2"/>
    </row>
    <row r="50" spans="1:57" ht="17.25" customHeight="1">
      <c r="A50" s="2"/>
      <c r="B50" s="149" t="s">
        <v>262</v>
      </c>
      <c r="C50" s="149"/>
      <c r="D50" s="149"/>
      <c r="E50" s="251">
        <v>18988</v>
      </c>
      <c r="F50" s="251">
        <v>18988</v>
      </c>
      <c r="G50" s="251">
        <v>18987.650479</v>
      </c>
      <c r="H50" s="251">
        <v>18987.650448</v>
      </c>
      <c r="I50" s="251">
        <v>18987.684055000002</v>
      </c>
      <c r="J50" s="251">
        <v>19987.037445999998</v>
      </c>
      <c r="K50" s="251">
        <v>19987.000510000002</v>
      </c>
      <c r="L50" s="251">
        <v>19987.000510000002</v>
      </c>
      <c r="M50" s="251">
        <v>19987</v>
      </c>
      <c r="N50" s="251">
        <v>19987</v>
      </c>
      <c r="O50" s="251">
        <v>19987</v>
      </c>
      <c r="P50" s="251">
        <v>19987</v>
      </c>
      <c r="Q50" s="251">
        <v>19987</v>
      </c>
      <c r="R50" s="251">
        <v>19987</v>
      </c>
      <c r="S50" s="251">
        <v>19987</v>
      </c>
      <c r="T50" s="251">
        <v>19987</v>
      </c>
      <c r="U50" s="251">
        <v>19987</v>
      </c>
      <c r="V50" s="251">
        <v>19987</v>
      </c>
      <c r="W50" s="251">
        <v>19987</v>
      </c>
      <c r="X50" s="251">
        <v>19987</v>
      </c>
      <c r="Y50" s="251">
        <v>19986.509706000001</v>
      </c>
      <c r="Z50" s="251">
        <v>19987</v>
      </c>
      <c r="AA50" s="251">
        <v>19987</v>
      </c>
      <c r="AB50" s="251">
        <v>19987</v>
      </c>
      <c r="AC50" s="251">
        <v>19987</v>
      </c>
      <c r="AD50" s="251">
        <v>19987</v>
      </c>
      <c r="AE50" s="251"/>
      <c r="AF50" s="251"/>
      <c r="AG50" s="251">
        <v>19987</v>
      </c>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150"/>
      <c r="BE50" s="2"/>
    </row>
    <row r="51" spans="1:57" ht="0.75" customHeight="1">
      <c r="A51" s="2"/>
      <c r="B51" s="147"/>
      <c r="C51" s="147"/>
      <c r="D51" s="147"/>
      <c r="E51" s="251"/>
      <c r="F51" s="251"/>
      <c r="G51" s="251"/>
      <c r="H51" s="251"/>
      <c r="I51" s="251"/>
      <c r="J51" s="251"/>
      <c r="K51" s="251"/>
      <c r="L51" s="251"/>
      <c r="M51" s="251"/>
      <c r="N51" s="251"/>
      <c r="O51" s="251"/>
      <c r="P51" s="251"/>
      <c r="Q51" s="251"/>
      <c r="R51" s="251"/>
      <c r="S51" s="251"/>
      <c r="T51" s="251">
        <v>0</v>
      </c>
      <c r="U51" s="251">
        <v>0</v>
      </c>
      <c r="V51" s="251">
        <v>0</v>
      </c>
      <c r="W51" s="251">
        <v>0</v>
      </c>
      <c r="X51" s="251">
        <v>0</v>
      </c>
      <c r="Y51" s="251">
        <v>0</v>
      </c>
      <c r="Z51" s="251">
        <v>0</v>
      </c>
      <c r="AA51" s="251"/>
      <c r="AB51" s="251">
        <v>0</v>
      </c>
      <c r="AC51" s="251">
        <v>0</v>
      </c>
      <c r="AD51" s="251">
        <v>0</v>
      </c>
      <c r="AE51" s="251">
        <v>0</v>
      </c>
      <c r="AF51" s="251">
        <v>0</v>
      </c>
      <c r="AG51" s="251">
        <v>0</v>
      </c>
      <c r="AH51" s="251">
        <v>0</v>
      </c>
      <c r="AI51" s="251">
        <v>0</v>
      </c>
      <c r="AJ51" s="251"/>
      <c r="AK51" s="251"/>
      <c r="AL51" s="251"/>
      <c r="AM51" s="251"/>
      <c r="AN51" s="251"/>
      <c r="AO51" s="251"/>
      <c r="AP51" s="251"/>
      <c r="AQ51" s="251"/>
      <c r="AR51" s="251"/>
      <c r="AS51" s="251"/>
      <c r="AT51" s="251"/>
      <c r="AU51" s="251"/>
      <c r="AV51" s="251"/>
      <c r="AW51" s="251"/>
      <c r="AX51" s="251"/>
      <c r="AY51" s="251"/>
      <c r="AZ51" s="251"/>
      <c r="BA51" s="251"/>
      <c r="BB51" s="251"/>
      <c r="BC51" s="251"/>
      <c r="BD51" s="150"/>
      <c r="BE51" s="2"/>
    </row>
    <row r="52" spans="1:57">
      <c r="A52" s="2"/>
      <c r="B52" s="149" t="s">
        <v>263</v>
      </c>
      <c r="C52" s="149"/>
      <c r="D52" s="149"/>
      <c r="E52" s="251">
        <v>487125</v>
      </c>
      <c r="F52" s="251">
        <v>476162</v>
      </c>
      <c r="G52" s="251">
        <v>474082</v>
      </c>
      <c r="H52" s="251">
        <v>497286</v>
      </c>
      <c r="I52" s="251">
        <v>484229</v>
      </c>
      <c r="J52" s="251">
        <v>555320</v>
      </c>
      <c r="K52" s="251">
        <v>567769.03447399999</v>
      </c>
      <c r="L52" s="251">
        <v>572610.03447399999</v>
      </c>
      <c r="M52" s="251">
        <v>577573</v>
      </c>
      <c r="N52" s="251">
        <v>586990</v>
      </c>
      <c r="O52" s="251">
        <v>595154</v>
      </c>
      <c r="P52" s="251">
        <v>589296</v>
      </c>
      <c r="Q52" s="251">
        <v>599576.74298099999</v>
      </c>
      <c r="R52" s="251">
        <v>618078</v>
      </c>
      <c r="S52" s="251">
        <v>609038</v>
      </c>
      <c r="T52" s="251">
        <v>632142</v>
      </c>
      <c r="U52" s="251">
        <v>647706</v>
      </c>
      <c r="V52" s="251">
        <v>622899</v>
      </c>
      <c r="W52" s="251">
        <v>621401</v>
      </c>
      <c r="X52" s="251">
        <v>611444.11080500006</v>
      </c>
      <c r="Y52" s="251">
        <v>654575.72701902199</v>
      </c>
      <c r="Z52" s="251">
        <v>659271.30391999998</v>
      </c>
      <c r="AA52" s="251">
        <v>675704</v>
      </c>
      <c r="AB52" s="251">
        <v>694187.57497099997</v>
      </c>
      <c r="AC52" s="251">
        <v>675357</v>
      </c>
      <c r="AD52" s="251">
        <v>673889</v>
      </c>
      <c r="AE52" s="251"/>
      <c r="AF52" s="251"/>
      <c r="AG52" s="251">
        <v>694235</v>
      </c>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150"/>
      <c r="BE52" s="2"/>
    </row>
    <row r="53" spans="1:57">
      <c r="A53" s="2"/>
      <c r="B53" s="587" t="s">
        <v>264</v>
      </c>
      <c r="C53" s="587"/>
      <c r="D53" s="587"/>
      <c r="E53" s="263">
        <v>506113</v>
      </c>
      <c r="F53" s="263">
        <v>495150</v>
      </c>
      <c r="G53" s="263">
        <v>493069.650479</v>
      </c>
      <c r="H53" s="263">
        <v>516273.650448</v>
      </c>
      <c r="I53" s="263">
        <v>503216.68405500002</v>
      </c>
      <c r="J53" s="263">
        <v>575307.03744600003</v>
      </c>
      <c r="K53" s="263">
        <v>587756.03498400003</v>
      </c>
      <c r="L53" s="263">
        <v>592597.03498400003</v>
      </c>
      <c r="M53" s="263">
        <v>597560</v>
      </c>
      <c r="N53" s="263">
        <v>606977</v>
      </c>
      <c r="O53" s="263">
        <v>615141</v>
      </c>
      <c r="P53" s="263">
        <v>609283</v>
      </c>
      <c r="Q53" s="263">
        <v>619563.74298099999</v>
      </c>
      <c r="R53" s="263">
        <v>638065</v>
      </c>
      <c r="S53" s="263">
        <v>629025</v>
      </c>
      <c r="T53" s="263">
        <v>652129</v>
      </c>
      <c r="U53" s="263">
        <v>667693</v>
      </c>
      <c r="V53" s="263">
        <v>642886</v>
      </c>
      <c r="W53" s="263">
        <v>641388</v>
      </c>
      <c r="X53" s="263">
        <v>631431</v>
      </c>
      <c r="Y53" s="263">
        <v>674563</v>
      </c>
      <c r="Z53" s="263">
        <v>679258</v>
      </c>
      <c r="AA53" s="263">
        <f>AA50+AA52</f>
        <v>695691</v>
      </c>
      <c r="AB53" s="263">
        <v>714174.57497099997</v>
      </c>
      <c r="AC53" s="263">
        <v>695344</v>
      </c>
      <c r="AD53" s="263">
        <v>693876</v>
      </c>
      <c r="AE53" s="263">
        <v>688804</v>
      </c>
      <c r="AF53" s="263">
        <v>711097</v>
      </c>
      <c r="AG53" s="263">
        <v>714222</v>
      </c>
      <c r="AH53" s="263">
        <v>913746</v>
      </c>
      <c r="AI53" s="263">
        <v>699833</v>
      </c>
      <c r="AJ53" s="263">
        <v>688287</v>
      </c>
      <c r="AK53" s="263">
        <v>771447.77477599995</v>
      </c>
      <c r="AL53" s="263">
        <v>609902</v>
      </c>
      <c r="AM53" s="263">
        <v>593393</v>
      </c>
      <c r="AN53" s="263">
        <v>597070</v>
      </c>
      <c r="AO53" s="263">
        <v>589527</v>
      </c>
      <c r="AP53" s="263">
        <v>592034</v>
      </c>
      <c r="AQ53" s="263">
        <v>601874</v>
      </c>
      <c r="AR53" s="263">
        <v>658630</v>
      </c>
      <c r="AS53" s="263">
        <v>665543</v>
      </c>
      <c r="AT53" s="263">
        <v>681532</v>
      </c>
      <c r="AU53" s="263">
        <v>728530</v>
      </c>
      <c r="AV53" s="263">
        <v>741199.4</v>
      </c>
      <c r="AW53" s="263">
        <v>775629.4</v>
      </c>
      <c r="AX53" s="263">
        <v>768667</v>
      </c>
      <c r="AY53" s="263">
        <v>774843</v>
      </c>
      <c r="AZ53" s="263">
        <v>790854</v>
      </c>
      <c r="BA53" s="263">
        <v>820188</v>
      </c>
      <c r="BB53" s="263">
        <v>883067</v>
      </c>
      <c r="BC53" s="263">
        <v>870974</v>
      </c>
      <c r="BD53" s="152"/>
      <c r="BE53" s="2"/>
    </row>
    <row r="54" spans="1:57">
      <c r="A54" s="2"/>
      <c r="B54" s="149" t="s">
        <v>265</v>
      </c>
      <c r="C54" s="149"/>
      <c r="D54" s="149"/>
      <c r="E54" s="251">
        <v>27695</v>
      </c>
      <c r="F54" s="251">
        <v>27699</v>
      </c>
      <c r="G54" s="251">
        <v>26752</v>
      </c>
      <c r="H54" s="251">
        <v>41981</v>
      </c>
      <c r="I54" s="251">
        <v>40886</v>
      </c>
      <c r="J54" s="251">
        <v>43726</v>
      </c>
      <c r="K54" s="251">
        <v>41265</v>
      </c>
      <c r="L54" s="251">
        <v>41088</v>
      </c>
      <c r="M54" s="251">
        <v>42102</v>
      </c>
      <c r="N54" s="251">
        <v>43097</v>
      </c>
      <c r="O54" s="251">
        <v>44461</v>
      </c>
      <c r="P54" s="251">
        <v>43569</v>
      </c>
      <c r="Q54" s="251">
        <v>48525</v>
      </c>
      <c r="R54" s="251">
        <v>52118</v>
      </c>
      <c r="S54" s="251">
        <v>48219</v>
      </c>
      <c r="T54" s="251">
        <v>52561</v>
      </c>
      <c r="U54" s="251">
        <v>54981</v>
      </c>
      <c r="V54" s="251">
        <v>52296</v>
      </c>
      <c r="W54" s="251">
        <v>44908</v>
      </c>
      <c r="X54" s="251">
        <v>56689</v>
      </c>
      <c r="Y54" s="251">
        <v>68750</v>
      </c>
      <c r="Z54" s="251">
        <v>70988</v>
      </c>
      <c r="AA54" s="251">
        <v>75497</v>
      </c>
      <c r="AB54" s="251">
        <v>85594</v>
      </c>
      <c r="AC54" s="251">
        <v>88139</v>
      </c>
      <c r="AD54" s="251">
        <v>91011</v>
      </c>
      <c r="AE54" s="251">
        <v>75192</v>
      </c>
      <c r="AF54" s="251">
        <v>120962</v>
      </c>
      <c r="AG54" s="251">
        <v>135258</v>
      </c>
      <c r="AH54" s="251">
        <v>126703</v>
      </c>
      <c r="AI54" s="251">
        <v>170316</v>
      </c>
      <c r="AJ54" s="251">
        <v>222918</v>
      </c>
      <c r="AK54" s="251">
        <v>249847</v>
      </c>
      <c r="AL54" s="251">
        <v>248544</v>
      </c>
      <c r="AM54" s="251">
        <v>249577</v>
      </c>
      <c r="AN54" s="251">
        <v>181341</v>
      </c>
      <c r="AO54" s="251">
        <v>222739</v>
      </c>
      <c r="AP54" s="251">
        <v>228909</v>
      </c>
      <c r="AQ54" s="251">
        <v>233642</v>
      </c>
      <c r="AR54" s="251">
        <v>229006</v>
      </c>
      <c r="AS54" s="251">
        <v>253807</v>
      </c>
      <c r="AT54" s="251">
        <v>264576</v>
      </c>
      <c r="AU54" s="251">
        <v>277065</v>
      </c>
      <c r="AV54" s="251">
        <v>280798.51</v>
      </c>
      <c r="AW54" s="251">
        <v>288813.5</v>
      </c>
      <c r="AX54" s="251">
        <v>261866</v>
      </c>
      <c r="AY54" s="251">
        <v>259249</v>
      </c>
      <c r="AZ54" s="251">
        <v>244615</v>
      </c>
      <c r="BA54" s="251">
        <v>235451</v>
      </c>
      <c r="BB54" s="251">
        <v>237268</v>
      </c>
      <c r="BC54" s="251">
        <v>232056</v>
      </c>
      <c r="BD54" s="150"/>
      <c r="BE54" s="2"/>
    </row>
    <row r="55" spans="1:57" ht="18.75" customHeight="1">
      <c r="A55" s="2"/>
      <c r="B55" s="590"/>
      <c r="C55" s="590"/>
      <c r="D55" s="590"/>
      <c r="E55" s="263">
        <v>533808</v>
      </c>
      <c r="F55" s="263">
        <v>522849</v>
      </c>
      <c r="G55" s="263">
        <v>519821.650479</v>
      </c>
      <c r="H55" s="263">
        <v>558254.65044800006</v>
      </c>
      <c r="I55" s="263">
        <v>544102.68405500008</v>
      </c>
      <c r="J55" s="263">
        <v>619033.03744600003</v>
      </c>
      <c r="K55" s="263">
        <v>629021.03498400003</v>
      </c>
      <c r="L55" s="263">
        <v>633685.03498400003</v>
      </c>
      <c r="M55" s="263">
        <v>639662</v>
      </c>
      <c r="N55" s="263">
        <v>650074</v>
      </c>
      <c r="O55" s="263">
        <v>659602</v>
      </c>
      <c r="P55" s="263">
        <v>652852</v>
      </c>
      <c r="Q55" s="263">
        <v>668088.74298099999</v>
      </c>
      <c r="R55" s="263">
        <v>690183</v>
      </c>
      <c r="S55" s="263">
        <v>677244</v>
      </c>
      <c r="T55" s="263">
        <v>704690</v>
      </c>
      <c r="U55" s="263">
        <v>722674</v>
      </c>
      <c r="V55" s="263">
        <v>695182</v>
      </c>
      <c r="W55" s="263">
        <v>686296</v>
      </c>
      <c r="X55" s="263">
        <v>688120</v>
      </c>
      <c r="Y55" s="263">
        <v>743313</v>
      </c>
      <c r="Z55" s="263">
        <v>750246</v>
      </c>
      <c r="AA55" s="263">
        <v>771188</v>
      </c>
      <c r="AB55" s="263">
        <v>799768.57497099997</v>
      </c>
      <c r="AC55" s="263">
        <v>783483</v>
      </c>
      <c r="AD55" s="263">
        <v>784887</v>
      </c>
      <c r="AE55" s="263">
        <v>763996</v>
      </c>
      <c r="AF55" s="263">
        <v>763996</v>
      </c>
      <c r="AG55" s="263">
        <v>849480</v>
      </c>
      <c r="AH55" s="263">
        <v>1040449</v>
      </c>
      <c r="AI55" s="263">
        <v>870149</v>
      </c>
      <c r="AJ55" s="263">
        <v>911205</v>
      </c>
      <c r="AK55" s="263">
        <v>1021294.7747759999</v>
      </c>
      <c r="AL55" s="263">
        <v>858446</v>
      </c>
      <c r="AM55" s="263">
        <v>842970</v>
      </c>
      <c r="AN55" s="263">
        <v>778411</v>
      </c>
      <c r="AO55" s="263">
        <v>812266</v>
      </c>
      <c r="AP55" s="263">
        <v>820943</v>
      </c>
      <c r="AQ55" s="263">
        <v>835516</v>
      </c>
      <c r="AR55" s="263">
        <v>887636</v>
      </c>
      <c r="AS55" s="263">
        <v>887636</v>
      </c>
      <c r="AT55" s="263">
        <v>946108</v>
      </c>
      <c r="AU55" s="263">
        <v>1005595</v>
      </c>
      <c r="AV55" s="263">
        <v>1021997.91</v>
      </c>
      <c r="AW55" s="263">
        <v>1064442.8999999999</v>
      </c>
      <c r="AX55" s="263">
        <v>1030533</v>
      </c>
      <c r="AY55" s="263">
        <v>1034092</v>
      </c>
      <c r="AZ55" s="263">
        <v>1035469</v>
      </c>
      <c r="BA55" s="263">
        <v>1055639</v>
      </c>
      <c r="BB55" s="263">
        <v>1120335</v>
      </c>
      <c r="BC55" s="263">
        <v>1103030</v>
      </c>
      <c r="BD55" s="152"/>
      <c r="BE55" s="2"/>
    </row>
    <row r="56" spans="1:57" ht="18.75" customHeight="1">
      <c r="A56" s="2"/>
      <c r="B56" s="147"/>
      <c r="C56" s="147"/>
      <c r="D56" s="147"/>
      <c r="E56" s="251"/>
      <c r="F56" s="251"/>
      <c r="G56" s="251"/>
      <c r="H56" s="251"/>
      <c r="I56" s="251"/>
      <c r="J56" s="251"/>
      <c r="K56" s="251"/>
      <c r="L56" s="251"/>
      <c r="M56" s="251"/>
      <c r="N56" s="251"/>
      <c r="O56" s="251"/>
      <c r="P56" s="251"/>
      <c r="Q56" s="251"/>
      <c r="R56" s="251"/>
      <c r="S56" s="251"/>
      <c r="T56" s="251"/>
      <c r="U56" s="251"/>
      <c r="V56" s="251"/>
      <c r="W56" s="251"/>
      <c r="X56" s="251"/>
      <c r="Y56" s="251"/>
      <c r="Z56" s="251"/>
      <c r="AA56" s="251"/>
      <c r="AB56" s="251"/>
      <c r="AC56" s="251"/>
      <c r="AD56" s="251"/>
      <c r="AE56" s="251"/>
      <c r="AF56" s="251"/>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150"/>
      <c r="BE56" s="2"/>
    </row>
    <row r="57" spans="1:57" ht="18.75" customHeight="1">
      <c r="A57" s="2"/>
      <c r="B57" s="147" t="s">
        <v>266</v>
      </c>
      <c r="C57" s="147"/>
      <c r="D57" s="147"/>
      <c r="E57" s="251"/>
      <c r="F57" s="251"/>
      <c r="G57" s="251"/>
      <c r="H57" s="251"/>
      <c r="I57" s="251"/>
      <c r="J57" s="251"/>
      <c r="K57" s="251"/>
      <c r="L57" s="251"/>
      <c r="M57" s="251"/>
      <c r="N57" s="251"/>
      <c r="O57" s="251"/>
      <c r="P57" s="251"/>
      <c r="Q57" s="251"/>
      <c r="R57" s="251"/>
      <c r="S57" s="251"/>
      <c r="T57" s="251"/>
      <c r="U57" s="251"/>
      <c r="V57" s="251"/>
      <c r="W57" s="251"/>
      <c r="X57" s="251"/>
      <c r="Y57" s="251"/>
      <c r="Z57" s="251"/>
      <c r="AA57" s="251"/>
      <c r="AB57" s="251"/>
      <c r="AC57" s="251"/>
      <c r="AD57" s="251"/>
      <c r="AE57" s="251"/>
      <c r="AF57" s="251"/>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150"/>
      <c r="BE57" s="2"/>
    </row>
    <row r="58" spans="1:57" ht="18.75" customHeight="1">
      <c r="A58" s="2"/>
      <c r="B58" s="151" t="s">
        <v>267</v>
      </c>
      <c r="C58" s="151"/>
      <c r="D58" s="151"/>
      <c r="E58" s="251"/>
      <c r="F58" s="251"/>
      <c r="G58" s="251"/>
      <c r="H58" s="251"/>
      <c r="I58" s="251"/>
      <c r="J58" s="251"/>
      <c r="K58" s="251"/>
      <c r="L58" s="251"/>
      <c r="M58" s="251"/>
      <c r="N58" s="251"/>
      <c r="O58" s="251"/>
      <c r="P58" s="251"/>
      <c r="Q58" s="251"/>
      <c r="R58" s="251"/>
      <c r="S58" s="251"/>
      <c r="T58" s="251"/>
      <c r="U58" s="251"/>
      <c r="V58" s="251"/>
      <c r="W58" s="251"/>
      <c r="X58" s="251"/>
      <c r="Y58" s="251"/>
      <c r="Z58" s="251"/>
      <c r="AA58" s="251"/>
      <c r="AB58" s="251"/>
      <c r="AC58" s="251"/>
      <c r="AD58" s="251"/>
      <c r="AE58" s="251"/>
      <c r="AF58" s="251"/>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150"/>
      <c r="BE58" s="2"/>
    </row>
    <row r="59" spans="1:57" ht="18.75" customHeight="1">
      <c r="A59" s="2"/>
      <c r="B59" s="149" t="s">
        <v>268</v>
      </c>
      <c r="C59" s="149"/>
      <c r="D59" s="149"/>
      <c r="E59" s="251">
        <v>497154</v>
      </c>
      <c r="F59" s="251">
        <v>577569</v>
      </c>
      <c r="G59" s="251">
        <v>559292.5</v>
      </c>
      <c r="H59" s="251">
        <v>603301.5</v>
      </c>
      <c r="I59" s="251">
        <v>615484.5</v>
      </c>
      <c r="J59" s="251">
        <v>542793</v>
      </c>
      <c r="K59" s="251">
        <v>562929</v>
      </c>
      <c r="L59" s="251">
        <v>562577</v>
      </c>
      <c r="M59" s="251">
        <v>549919</v>
      </c>
      <c r="N59" s="251">
        <v>572829</v>
      </c>
      <c r="O59" s="251">
        <v>666636</v>
      </c>
      <c r="P59" s="251">
        <v>610161</v>
      </c>
      <c r="Q59" s="251">
        <v>595450.08000000007</v>
      </c>
      <c r="R59" s="251">
        <v>722127</v>
      </c>
      <c r="S59" s="251">
        <v>730297</v>
      </c>
      <c r="T59" s="251">
        <v>861369</v>
      </c>
      <c r="U59" s="251">
        <v>892686</v>
      </c>
      <c r="V59" s="251">
        <v>886746</v>
      </c>
      <c r="W59" s="251">
        <v>879836</v>
      </c>
      <c r="X59" s="251">
        <v>941166</v>
      </c>
      <c r="Y59" s="251">
        <v>896372.99844300002</v>
      </c>
      <c r="Z59" s="251">
        <v>875668.63436680008</v>
      </c>
      <c r="AA59" s="251">
        <v>888844</v>
      </c>
      <c r="AB59" s="251">
        <v>801325.47750400007</v>
      </c>
      <c r="AC59" s="251">
        <v>849420</v>
      </c>
      <c r="AD59" s="251">
        <v>878989</v>
      </c>
      <c r="AE59" s="251">
        <v>923230</v>
      </c>
      <c r="AF59" s="251">
        <v>901513</v>
      </c>
      <c r="AG59" s="251">
        <v>872454</v>
      </c>
      <c r="AH59" s="251">
        <v>1080537</v>
      </c>
      <c r="AI59" s="251">
        <v>1112440.41337</v>
      </c>
      <c r="AJ59" s="251">
        <v>1052293.41337</v>
      </c>
      <c r="AK59" s="251">
        <v>1154470</v>
      </c>
      <c r="AL59" s="251">
        <v>1079776</v>
      </c>
      <c r="AM59" s="251">
        <v>1283470</v>
      </c>
      <c r="AN59" s="251">
        <v>1264134</v>
      </c>
      <c r="AO59" s="251">
        <v>1356689</v>
      </c>
      <c r="AP59" s="251">
        <v>1493080</v>
      </c>
      <c r="AQ59" s="251">
        <v>1562933</v>
      </c>
      <c r="AR59" s="251">
        <v>1449385</v>
      </c>
      <c r="AS59" s="251">
        <f>290562+1135350</f>
        <v>1425912</v>
      </c>
      <c r="AT59" s="251">
        <v>1531348</v>
      </c>
      <c r="AU59" s="251">
        <v>1918687</v>
      </c>
      <c r="AV59" s="251">
        <v>1958412</v>
      </c>
      <c r="AW59" s="251">
        <v>2023981</v>
      </c>
      <c r="AX59" s="251">
        <v>2023921</v>
      </c>
      <c r="AY59" s="251">
        <v>1912717</v>
      </c>
      <c r="AZ59" s="251">
        <v>1922770</v>
      </c>
      <c r="BA59" s="251">
        <v>1848897</v>
      </c>
      <c r="BB59" s="251">
        <v>1727228</v>
      </c>
      <c r="BC59" s="251">
        <v>1861180</v>
      </c>
      <c r="BD59" s="150"/>
      <c r="BE59" s="2"/>
    </row>
    <row r="60" spans="1:57" ht="18.75" customHeight="1">
      <c r="A60" s="2"/>
      <c r="B60" s="149" t="s">
        <v>269</v>
      </c>
      <c r="C60" s="149"/>
      <c r="D60" s="149"/>
      <c r="E60" s="251">
        <v>401</v>
      </c>
      <c r="F60" s="251">
        <v>1026</v>
      </c>
      <c r="G60" s="251">
        <v>593</v>
      </c>
      <c r="H60" s="251">
        <v>657</v>
      </c>
      <c r="I60" s="251">
        <v>893</v>
      </c>
      <c r="J60" s="251">
        <v>4638</v>
      </c>
      <c r="K60" s="251">
        <v>5308</v>
      </c>
      <c r="L60" s="251">
        <v>6679</v>
      </c>
      <c r="M60" s="251">
        <v>4313</v>
      </c>
      <c r="N60" s="251">
        <v>1460</v>
      </c>
      <c r="O60" s="251">
        <v>1214</v>
      </c>
      <c r="P60" s="251">
        <v>1298</v>
      </c>
      <c r="Q60" s="251">
        <v>164</v>
      </c>
      <c r="R60" s="251">
        <v>1677</v>
      </c>
      <c r="S60" s="251">
        <v>81</v>
      </c>
      <c r="T60" s="251">
        <v>256</v>
      </c>
      <c r="U60" s="251">
        <v>8</v>
      </c>
      <c r="V60" s="251">
        <v>79</v>
      </c>
      <c r="W60" s="251">
        <v>118</v>
      </c>
      <c r="X60" s="251">
        <v>3106</v>
      </c>
      <c r="Y60" s="251">
        <v>2726</v>
      </c>
      <c r="Z60" s="251">
        <v>1166</v>
      </c>
      <c r="AA60" s="251">
        <v>1664</v>
      </c>
      <c r="AB60" s="251">
        <v>2448</v>
      </c>
      <c r="AC60" s="251">
        <v>5409</v>
      </c>
      <c r="AD60" s="251">
        <v>7280</v>
      </c>
      <c r="AE60" s="251">
        <v>0</v>
      </c>
      <c r="AF60" s="251">
        <v>0</v>
      </c>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150"/>
      <c r="BE60" s="2"/>
    </row>
    <row r="61" spans="1:57" ht="18.75" customHeight="1">
      <c r="A61" s="2"/>
      <c r="B61" s="149" t="s">
        <v>255</v>
      </c>
      <c r="C61" s="149"/>
      <c r="D61" s="149"/>
      <c r="E61" s="251">
        <v>23076</v>
      </c>
      <c r="F61" s="251">
        <v>23660</v>
      </c>
      <c r="G61" s="251">
        <v>24683</v>
      </c>
      <c r="H61" s="251">
        <v>26082</v>
      </c>
      <c r="I61" s="251">
        <v>22748</v>
      </c>
      <c r="J61" s="251">
        <v>21325</v>
      </c>
      <c r="K61" s="251">
        <v>21718</v>
      </c>
      <c r="L61" s="251">
        <v>24407</v>
      </c>
      <c r="M61" s="251">
        <v>27464</v>
      </c>
      <c r="N61" s="251">
        <v>23642</v>
      </c>
      <c r="O61" s="251">
        <v>18541</v>
      </c>
      <c r="P61" s="251">
        <v>18668</v>
      </c>
      <c r="Q61" s="251">
        <v>18939</v>
      </c>
      <c r="R61" s="251">
        <v>59229</v>
      </c>
      <c r="S61" s="251">
        <v>68828</v>
      </c>
      <c r="T61" s="251">
        <v>19851</v>
      </c>
      <c r="U61" s="251">
        <v>20576</v>
      </c>
      <c r="V61" s="251">
        <v>20328</v>
      </c>
      <c r="W61" s="251">
        <v>19862</v>
      </c>
      <c r="X61" s="251">
        <v>18379</v>
      </c>
      <c r="Y61" s="251">
        <v>15681.069555</v>
      </c>
      <c r="Z61" s="251">
        <v>16177.036982</v>
      </c>
      <c r="AA61" s="251">
        <v>15793</v>
      </c>
      <c r="AB61" s="251">
        <v>16885.233700000001</v>
      </c>
      <c r="AC61" s="251">
        <v>44547</v>
      </c>
      <c r="AD61" s="251">
        <v>46206</v>
      </c>
      <c r="AE61" s="251">
        <v>56587</v>
      </c>
      <c r="AF61" s="251">
        <v>49761</v>
      </c>
      <c r="AG61" s="251">
        <v>92957</v>
      </c>
      <c r="AH61" s="251">
        <v>52775</v>
      </c>
      <c r="AI61" s="251">
        <v>60033</v>
      </c>
      <c r="AJ61" s="251">
        <v>48126</v>
      </c>
      <c r="AK61" s="251">
        <v>67691</v>
      </c>
      <c r="AL61" s="251">
        <v>75060</v>
      </c>
      <c r="AM61" s="251">
        <v>112523</v>
      </c>
      <c r="AN61" s="251">
        <v>130938</v>
      </c>
      <c r="AO61" s="251">
        <v>122393</v>
      </c>
      <c r="AP61" s="251">
        <v>93167</v>
      </c>
      <c r="AQ61" s="251">
        <v>132013</v>
      </c>
      <c r="AR61" s="251">
        <v>141397</v>
      </c>
      <c r="AS61" s="251">
        <f>174+90116</f>
        <v>90290</v>
      </c>
      <c r="AT61" s="251">
        <v>73347</v>
      </c>
      <c r="AU61" s="251">
        <v>94506</v>
      </c>
      <c r="AV61" s="251">
        <v>112663</v>
      </c>
      <c r="AW61" s="251">
        <v>100834</v>
      </c>
      <c r="AX61" s="251">
        <v>108209</v>
      </c>
      <c r="AY61" s="251">
        <v>100828</v>
      </c>
      <c r="AZ61" s="251">
        <v>105494</v>
      </c>
      <c r="BA61" s="251">
        <v>87926</v>
      </c>
      <c r="BB61" s="251">
        <v>96444</v>
      </c>
      <c r="BC61" s="251">
        <v>33844</v>
      </c>
      <c r="BD61" s="150"/>
      <c r="BE61" s="2"/>
    </row>
    <row r="62" spans="1:57" ht="18.75" customHeight="1">
      <c r="A62" s="2"/>
      <c r="B62" s="149" t="s">
        <v>270</v>
      </c>
      <c r="C62" s="149"/>
      <c r="D62" s="149"/>
      <c r="E62" s="251">
        <v>2892</v>
      </c>
      <c r="F62" s="251">
        <v>8771</v>
      </c>
      <c r="G62" s="251">
        <v>9135</v>
      </c>
      <c r="H62" s="251">
        <v>9444.4</v>
      </c>
      <c r="I62" s="251">
        <v>9696.4</v>
      </c>
      <c r="J62" s="251">
        <v>11193.701937999576</v>
      </c>
      <c r="K62" s="251">
        <v>12508</v>
      </c>
      <c r="L62" s="251">
        <v>12430</v>
      </c>
      <c r="M62" s="251">
        <v>14010</v>
      </c>
      <c r="N62" s="251">
        <v>12986</v>
      </c>
      <c r="O62" s="251">
        <v>14920</v>
      </c>
      <c r="P62" s="251">
        <v>16657</v>
      </c>
      <c r="Q62" s="251">
        <v>17917</v>
      </c>
      <c r="R62" s="251">
        <v>18444</v>
      </c>
      <c r="S62" s="251">
        <v>17522</v>
      </c>
      <c r="T62" s="251">
        <v>16948</v>
      </c>
      <c r="U62" s="251">
        <v>17787</v>
      </c>
      <c r="V62" s="251">
        <v>17647</v>
      </c>
      <c r="W62" s="251">
        <v>23457</v>
      </c>
      <c r="X62" s="251">
        <v>22631</v>
      </c>
      <c r="Y62" s="251">
        <v>22335</v>
      </c>
      <c r="Z62" s="251">
        <v>23083</v>
      </c>
      <c r="AA62" s="251">
        <v>21616</v>
      </c>
      <c r="AB62" s="251">
        <v>22814</v>
      </c>
      <c r="AC62" s="251">
        <v>22117</v>
      </c>
      <c r="AD62" s="251">
        <v>21010</v>
      </c>
      <c r="AE62" s="251">
        <v>0</v>
      </c>
      <c r="AF62" s="251">
        <v>0</v>
      </c>
      <c r="AG62" s="251">
        <v>17986</v>
      </c>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150"/>
      <c r="BE62" s="2"/>
    </row>
    <row r="63" spans="1:57" ht="18.75" customHeight="1">
      <c r="A63" s="2"/>
      <c r="B63" s="149" t="s">
        <v>271</v>
      </c>
      <c r="C63" s="149"/>
      <c r="D63" s="149"/>
      <c r="E63" s="251">
        <v>7240</v>
      </c>
      <c r="F63" s="251">
        <v>7817</v>
      </c>
      <c r="G63" s="251">
        <v>8435</v>
      </c>
      <c r="H63" s="251">
        <v>8766</v>
      </c>
      <c r="I63" s="251">
        <v>10548</v>
      </c>
      <c r="J63" s="251">
        <v>8756</v>
      </c>
      <c r="K63" s="251">
        <v>9234</v>
      </c>
      <c r="L63" s="251">
        <v>9302</v>
      </c>
      <c r="M63" s="251">
        <v>10044</v>
      </c>
      <c r="N63" s="251">
        <v>8700</v>
      </c>
      <c r="O63" s="251">
        <v>8082</v>
      </c>
      <c r="P63" s="251">
        <v>6218</v>
      </c>
      <c r="Q63" s="251">
        <v>6248</v>
      </c>
      <c r="R63" s="251">
        <v>7166</v>
      </c>
      <c r="S63" s="251">
        <v>7721</v>
      </c>
      <c r="T63" s="251">
        <v>7704</v>
      </c>
      <c r="U63" s="251">
        <v>7350</v>
      </c>
      <c r="V63" s="251">
        <v>7012</v>
      </c>
      <c r="W63" s="251">
        <v>7110</v>
      </c>
      <c r="X63" s="251">
        <v>6555</v>
      </c>
      <c r="Y63" s="251">
        <v>7471</v>
      </c>
      <c r="Z63" s="251">
        <v>7069</v>
      </c>
      <c r="AA63" s="251">
        <v>7093</v>
      </c>
      <c r="AB63" s="251">
        <v>7316</v>
      </c>
      <c r="AC63" s="251">
        <v>7212</v>
      </c>
      <c r="AD63" s="251">
        <v>7496</v>
      </c>
      <c r="AE63" s="251">
        <v>0</v>
      </c>
      <c r="AF63" s="251">
        <v>0</v>
      </c>
      <c r="AG63" s="251">
        <v>6823</v>
      </c>
      <c r="AH63" s="251"/>
      <c r="AI63" s="251"/>
      <c r="AJ63" s="251"/>
      <c r="AK63" s="251"/>
      <c r="AL63" s="251"/>
      <c r="AM63" s="251">
        <v>0</v>
      </c>
      <c r="AN63" s="251"/>
      <c r="AO63" s="251"/>
      <c r="AP63" s="251"/>
      <c r="AQ63" s="251"/>
      <c r="AR63" s="251"/>
      <c r="AS63" s="251"/>
      <c r="AT63" s="251"/>
      <c r="AU63" s="251"/>
      <c r="AV63" s="251"/>
      <c r="AW63" s="251"/>
      <c r="AX63" s="251"/>
      <c r="AY63" s="251"/>
      <c r="AZ63" s="251"/>
      <c r="BA63" s="251"/>
      <c r="BB63" s="251"/>
      <c r="BC63" s="251"/>
      <c r="BD63" s="150"/>
      <c r="BE63" s="2"/>
    </row>
    <row r="64" spans="1:57" ht="18.75" customHeight="1">
      <c r="A64" s="2"/>
      <c r="B64" s="149" t="s">
        <v>272</v>
      </c>
      <c r="C64" s="149"/>
      <c r="D64" s="149"/>
      <c r="E64" s="251">
        <v>11621</v>
      </c>
      <c r="F64" s="251">
        <v>13595</v>
      </c>
      <c r="G64" s="251">
        <v>14273</v>
      </c>
      <c r="H64" s="251">
        <v>15029</v>
      </c>
      <c r="I64" s="251">
        <v>15873</v>
      </c>
      <c r="J64" s="251">
        <v>14770</v>
      </c>
      <c r="K64" s="251">
        <v>14572</v>
      </c>
      <c r="L64" s="251">
        <v>15822</v>
      </c>
      <c r="M64" s="251">
        <v>16850</v>
      </c>
      <c r="N64" s="251">
        <v>15099</v>
      </c>
      <c r="O64" s="251">
        <v>13187</v>
      </c>
      <c r="P64" s="251">
        <v>16378</v>
      </c>
      <c r="Q64" s="251">
        <v>15110</v>
      </c>
      <c r="R64" s="251">
        <v>15822</v>
      </c>
      <c r="S64" s="251">
        <v>14906</v>
      </c>
      <c r="T64" s="251">
        <v>13031</v>
      </c>
      <c r="U64" s="251">
        <v>12512</v>
      </c>
      <c r="V64" s="251">
        <v>9654</v>
      </c>
      <c r="W64" s="251">
        <v>9850</v>
      </c>
      <c r="X64" s="251">
        <v>10717</v>
      </c>
      <c r="Y64" s="251">
        <v>9429</v>
      </c>
      <c r="Z64" s="251">
        <v>7444</v>
      </c>
      <c r="AA64" s="251">
        <v>10163</v>
      </c>
      <c r="AB64" s="251">
        <v>9048</v>
      </c>
      <c r="AC64" s="251">
        <v>10606</v>
      </c>
      <c r="AD64" s="251">
        <v>6783</v>
      </c>
      <c r="AE64" s="251">
        <v>5292</v>
      </c>
      <c r="AF64" s="251">
        <v>8190</v>
      </c>
      <c r="AG64" s="251">
        <v>11297</v>
      </c>
      <c r="AH64" s="251">
        <v>6228</v>
      </c>
      <c r="AI64" s="251">
        <v>6816</v>
      </c>
      <c r="AJ64" s="251">
        <v>8111</v>
      </c>
      <c r="AK64" s="251">
        <v>16877</v>
      </c>
      <c r="AL64" s="251">
        <v>17014</v>
      </c>
      <c r="AM64" s="251">
        <v>16852</v>
      </c>
      <c r="AN64" s="251">
        <v>16425</v>
      </c>
      <c r="AO64" s="251">
        <v>16107</v>
      </c>
      <c r="AP64" s="251">
        <v>16709</v>
      </c>
      <c r="AQ64" s="251">
        <v>19068</v>
      </c>
      <c r="AR64" s="251">
        <v>20906</v>
      </c>
      <c r="AS64" s="251">
        <v>24488</v>
      </c>
      <c r="AT64" s="251">
        <v>19879</v>
      </c>
      <c r="AU64" s="251">
        <v>20773</v>
      </c>
      <c r="AV64" s="251">
        <v>21837</v>
      </c>
      <c r="AW64" s="251">
        <v>20762</v>
      </c>
      <c r="AX64" s="251">
        <v>19096</v>
      </c>
      <c r="AY64" s="251">
        <v>20625</v>
      </c>
      <c r="AZ64" s="251">
        <v>22335</v>
      </c>
      <c r="BA64" s="251">
        <v>25118</v>
      </c>
      <c r="BB64" s="251">
        <v>27625</v>
      </c>
      <c r="BC64" s="251">
        <v>30816</v>
      </c>
      <c r="BD64" s="150"/>
      <c r="BE64" s="2"/>
    </row>
    <row r="65" spans="1:57" ht="18.75" customHeight="1">
      <c r="A65" s="2"/>
      <c r="B65" s="149" t="s">
        <v>273</v>
      </c>
      <c r="C65" s="149"/>
      <c r="D65" s="149"/>
      <c r="E65" s="251">
        <v>5551</v>
      </c>
      <c r="F65" s="251">
        <v>4185</v>
      </c>
      <c r="G65" s="251">
        <v>3549.1</v>
      </c>
      <c r="H65" s="251">
        <v>3574</v>
      </c>
      <c r="I65" s="251">
        <v>3465</v>
      </c>
      <c r="J65" s="251">
        <v>3439</v>
      </c>
      <c r="K65" s="251">
        <v>2441</v>
      </c>
      <c r="L65" s="251">
        <v>1438</v>
      </c>
      <c r="M65" s="251">
        <v>1460</v>
      </c>
      <c r="N65" s="251">
        <v>1445</v>
      </c>
      <c r="O65" s="251">
        <v>1467</v>
      </c>
      <c r="P65" s="251">
        <v>1485</v>
      </c>
      <c r="Q65" s="251">
        <v>1466</v>
      </c>
      <c r="R65" s="251">
        <v>1486</v>
      </c>
      <c r="S65" s="251">
        <v>1501</v>
      </c>
      <c r="T65" s="251">
        <v>1528</v>
      </c>
      <c r="U65" s="251">
        <v>1527</v>
      </c>
      <c r="V65" s="251">
        <v>1524</v>
      </c>
      <c r="W65" s="251">
        <v>669</v>
      </c>
      <c r="X65" s="251">
        <v>688</v>
      </c>
      <c r="Y65" s="251">
        <v>727</v>
      </c>
      <c r="Z65" s="251">
        <v>741</v>
      </c>
      <c r="AA65" s="251">
        <v>775</v>
      </c>
      <c r="AB65" s="251">
        <v>740</v>
      </c>
      <c r="AC65" s="251">
        <v>623</v>
      </c>
      <c r="AD65" s="251">
        <v>578</v>
      </c>
      <c r="AE65" s="251">
        <v>28115</v>
      </c>
      <c r="AF65" s="251">
        <v>25803</v>
      </c>
      <c r="AG65" s="251">
        <v>25238</v>
      </c>
      <c r="AH65" s="251">
        <v>24895</v>
      </c>
      <c r="AI65" s="251">
        <v>35756</v>
      </c>
      <c r="AJ65" s="251">
        <v>39838</v>
      </c>
      <c r="AK65" s="251">
        <v>32581</v>
      </c>
      <c r="AL65" s="251">
        <v>38641</v>
      </c>
      <c r="AM65" s="251">
        <v>38987</v>
      </c>
      <c r="AN65" s="251">
        <v>36835</v>
      </c>
      <c r="AO65" s="251">
        <v>36464</v>
      </c>
      <c r="AP65" s="251">
        <v>37351</v>
      </c>
      <c r="AQ65" s="251">
        <v>36792</v>
      </c>
      <c r="AR65" s="251">
        <v>36675</v>
      </c>
      <c r="AS65" s="251">
        <f>30258+4639+1363</f>
        <v>36260</v>
      </c>
      <c r="AT65" s="251">
        <v>36775</v>
      </c>
      <c r="AU65" s="251">
        <v>37138</v>
      </c>
      <c r="AV65" s="251">
        <v>34035</v>
      </c>
      <c r="AW65" s="251">
        <v>36674</v>
      </c>
      <c r="AX65" s="251">
        <v>36909</v>
      </c>
      <c r="AY65" s="251">
        <v>36791</v>
      </c>
      <c r="AZ65" s="251">
        <v>37649</v>
      </c>
      <c r="BA65" s="251">
        <v>41052</v>
      </c>
      <c r="BB65" s="251">
        <v>40024</v>
      </c>
      <c r="BC65" s="251">
        <v>39332</v>
      </c>
      <c r="BD65" s="150"/>
      <c r="BE65" s="2"/>
    </row>
    <row r="66" spans="1:57" ht="18.75" customHeight="1">
      <c r="A66" s="2"/>
      <c r="B66" s="587" t="s">
        <v>266</v>
      </c>
      <c r="C66" s="587"/>
      <c r="D66" s="587"/>
      <c r="E66" s="263">
        <v>547935</v>
      </c>
      <c r="F66" s="263">
        <v>636623</v>
      </c>
      <c r="G66" s="263">
        <v>619960.6</v>
      </c>
      <c r="H66" s="263">
        <v>666853.9</v>
      </c>
      <c r="I66" s="263">
        <v>678707.9</v>
      </c>
      <c r="J66" s="263">
        <v>606914.70193799958</v>
      </c>
      <c r="K66" s="263">
        <v>628710</v>
      </c>
      <c r="L66" s="263">
        <v>632655</v>
      </c>
      <c r="M66" s="263">
        <v>624060</v>
      </c>
      <c r="N66" s="263">
        <v>636161</v>
      </c>
      <c r="O66" s="263">
        <v>724047</v>
      </c>
      <c r="P66" s="263">
        <v>670865</v>
      </c>
      <c r="Q66" s="263">
        <v>655294.08000000007</v>
      </c>
      <c r="R66" s="263">
        <v>825951</v>
      </c>
      <c r="S66" s="263">
        <v>840856</v>
      </c>
      <c r="T66" s="263">
        <v>920687</v>
      </c>
      <c r="U66" s="263">
        <v>952446</v>
      </c>
      <c r="V66" s="263">
        <v>942990</v>
      </c>
      <c r="W66" s="263">
        <v>940902</v>
      </c>
      <c r="X66" s="263">
        <v>1003242</v>
      </c>
      <c r="Y66" s="263">
        <v>954742</v>
      </c>
      <c r="Z66" s="263">
        <v>931349</v>
      </c>
      <c r="AA66" s="263">
        <v>945948</v>
      </c>
      <c r="AB66" s="263">
        <v>860575.71120400005</v>
      </c>
      <c r="AC66" s="263">
        <v>939934</v>
      </c>
      <c r="AD66" s="263">
        <v>968342</v>
      </c>
      <c r="AE66" s="263">
        <v>1013224</v>
      </c>
      <c r="AF66" s="263">
        <v>985268</v>
      </c>
      <c r="AG66" s="263">
        <v>971946</v>
      </c>
      <c r="AH66" s="263">
        <v>1164435</v>
      </c>
      <c r="AI66" s="263">
        <v>1215045.41337</v>
      </c>
      <c r="AJ66" s="263">
        <v>1148368.41337</v>
      </c>
      <c r="AK66" s="263">
        <v>1271619</v>
      </c>
      <c r="AL66" s="263">
        <v>1210491</v>
      </c>
      <c r="AM66" s="263">
        <v>1451832</v>
      </c>
      <c r="AN66" s="263">
        <v>1448332</v>
      </c>
      <c r="AO66" s="263">
        <v>1531653</v>
      </c>
      <c r="AP66" s="263">
        <v>1640307</v>
      </c>
      <c r="AQ66" s="263">
        <v>1750806</v>
      </c>
      <c r="AR66" s="263">
        <v>1648363</v>
      </c>
      <c r="AS66" s="263">
        <v>1576950</v>
      </c>
      <c r="AT66" s="263">
        <v>1661349</v>
      </c>
      <c r="AU66" s="263">
        <v>2071104</v>
      </c>
      <c r="AV66" s="263">
        <v>2126947</v>
      </c>
      <c r="AW66" s="263">
        <v>2182251</v>
      </c>
      <c r="AX66" s="263">
        <v>2188135</v>
      </c>
      <c r="AY66" s="263">
        <v>2070961</v>
      </c>
      <c r="AZ66" s="263">
        <v>2088248</v>
      </c>
      <c r="BA66" s="263">
        <v>2002993</v>
      </c>
      <c r="BB66" s="263">
        <v>1891320.817482</v>
      </c>
      <c r="BC66" s="263">
        <v>1965172</v>
      </c>
      <c r="BD66" s="152"/>
      <c r="BE66" s="2"/>
    </row>
    <row r="67" spans="1:57" ht="18.75" customHeight="1">
      <c r="A67" s="2"/>
      <c r="B67" s="147"/>
      <c r="C67" s="147"/>
      <c r="D67" s="147"/>
      <c r="E67" s="251"/>
      <c r="F67" s="251"/>
      <c r="G67" s="251"/>
      <c r="H67" s="251"/>
      <c r="I67" s="251"/>
      <c r="J67" s="251"/>
      <c r="K67" s="251"/>
      <c r="L67" s="251"/>
      <c r="M67" s="251"/>
      <c r="N67" s="251"/>
      <c r="O67" s="251"/>
      <c r="P67" s="251"/>
      <c r="Q67" s="251"/>
      <c r="R67" s="251"/>
      <c r="S67" s="251"/>
      <c r="T67" s="251"/>
      <c r="U67" s="251"/>
      <c r="V67" s="251"/>
      <c r="W67" s="251"/>
      <c r="X67" s="251"/>
      <c r="Y67" s="251"/>
      <c r="Z67" s="251"/>
      <c r="AA67" s="251"/>
      <c r="AB67" s="251"/>
      <c r="AC67" s="251"/>
      <c r="AD67" s="251"/>
      <c r="AE67" s="251"/>
      <c r="AF67" s="251"/>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150"/>
      <c r="BE67" s="2"/>
    </row>
    <row r="68" spans="1:57" ht="18.75" customHeight="1">
      <c r="A68" s="2"/>
      <c r="B68" s="147" t="s">
        <v>274</v>
      </c>
      <c r="C68" s="147"/>
      <c r="D68" s="147"/>
      <c r="E68" s="251"/>
      <c r="F68" s="251"/>
      <c r="G68" s="251"/>
      <c r="H68" s="251"/>
      <c r="I68" s="251"/>
      <c r="J68" s="251"/>
      <c r="K68" s="251"/>
      <c r="L68" s="251"/>
      <c r="M68" s="251"/>
      <c r="N68" s="251"/>
      <c r="O68" s="251"/>
      <c r="P68" s="251"/>
      <c r="Q68" s="251"/>
      <c r="R68" s="251"/>
      <c r="S68" s="251"/>
      <c r="T68" s="251"/>
      <c r="U68" s="251"/>
      <c r="V68" s="251"/>
      <c r="W68" s="251"/>
      <c r="X68" s="251"/>
      <c r="Y68" s="251"/>
      <c r="Z68" s="251"/>
      <c r="AA68" s="251"/>
      <c r="AB68" s="251"/>
      <c r="AC68" s="251"/>
      <c r="AD68" s="251"/>
      <c r="AE68" s="251"/>
      <c r="AF68" s="251"/>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150"/>
      <c r="BE68" s="2"/>
    </row>
    <row r="69" spans="1:57" ht="18.75" customHeight="1">
      <c r="A69" s="2"/>
      <c r="B69" s="151" t="s">
        <v>267</v>
      </c>
      <c r="C69" s="151"/>
      <c r="D69" s="151"/>
      <c r="E69" s="251"/>
      <c r="F69" s="251"/>
      <c r="G69" s="251"/>
      <c r="H69" s="251"/>
      <c r="I69" s="251"/>
      <c r="J69" s="251"/>
      <c r="K69" s="251"/>
      <c r="L69" s="251"/>
      <c r="M69" s="251"/>
      <c r="N69" s="251"/>
      <c r="O69" s="251"/>
      <c r="P69" s="251"/>
      <c r="Q69" s="251"/>
      <c r="R69" s="251"/>
      <c r="S69" s="251"/>
      <c r="T69" s="251"/>
      <c r="U69" s="251"/>
      <c r="V69" s="251"/>
      <c r="W69" s="251"/>
      <c r="X69" s="251"/>
      <c r="Y69" s="251"/>
      <c r="Z69" s="251"/>
      <c r="AA69" s="251"/>
      <c r="AB69" s="251"/>
      <c r="AC69" s="251"/>
      <c r="AD69" s="251"/>
      <c r="AE69" s="251"/>
      <c r="AF69" s="251"/>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150"/>
      <c r="BE69" s="2"/>
    </row>
    <row r="70" spans="1:57" ht="18.75" customHeight="1">
      <c r="A70" s="2"/>
      <c r="B70" s="149" t="s">
        <v>268</v>
      </c>
      <c r="C70" s="149"/>
      <c r="D70" s="149"/>
      <c r="E70" s="251">
        <v>193078</v>
      </c>
      <c r="F70" s="251">
        <v>163074.7460730001</v>
      </c>
      <c r="G70" s="251">
        <v>145856.02536500001</v>
      </c>
      <c r="H70" s="251">
        <v>140805.193811</v>
      </c>
      <c r="I70" s="251">
        <v>114122.53002199999</v>
      </c>
      <c r="J70" s="251">
        <v>201846.41429700001</v>
      </c>
      <c r="K70" s="251">
        <v>181508</v>
      </c>
      <c r="L70" s="251">
        <v>170563</v>
      </c>
      <c r="M70" s="251">
        <v>209039</v>
      </c>
      <c r="N70" s="251">
        <v>139677</v>
      </c>
      <c r="O70" s="251">
        <v>82589.849514000001</v>
      </c>
      <c r="P70" s="251">
        <v>189110.522803</v>
      </c>
      <c r="Q70" s="251">
        <v>211388.97656899999</v>
      </c>
      <c r="R70" s="251">
        <v>189139.30244700002</v>
      </c>
      <c r="S70" s="251">
        <v>132935.98405099998</v>
      </c>
      <c r="T70" s="251">
        <v>55300.585573999997</v>
      </c>
      <c r="U70" s="251">
        <v>57238</v>
      </c>
      <c r="V70" s="251">
        <v>77473.272916999995</v>
      </c>
      <c r="W70" s="251">
        <v>56156.000066615001</v>
      </c>
      <c r="X70" s="251">
        <v>150789.09194995</v>
      </c>
      <c r="Y70" s="251">
        <v>129441.6477933</v>
      </c>
      <c r="Z70" s="251">
        <v>73445.361418999993</v>
      </c>
      <c r="AA70" s="251">
        <v>83843</v>
      </c>
      <c r="AB70" s="251">
        <v>96187.489396802994</v>
      </c>
      <c r="AC70" s="251">
        <v>129569</v>
      </c>
      <c r="AD70" s="251">
        <v>185011</v>
      </c>
      <c r="AE70" s="251">
        <v>349456</v>
      </c>
      <c r="AF70" s="251">
        <v>308955</v>
      </c>
      <c r="AG70" s="251">
        <v>381829</v>
      </c>
      <c r="AH70" s="251">
        <v>218383</v>
      </c>
      <c r="AI70" s="251">
        <v>256729.58663000001</v>
      </c>
      <c r="AJ70" s="251">
        <v>412430.58663000003</v>
      </c>
      <c r="AK70" s="251">
        <v>327811</v>
      </c>
      <c r="AL70" s="251">
        <v>376055</v>
      </c>
      <c r="AM70" s="251">
        <v>313203</v>
      </c>
      <c r="AN70" s="251">
        <v>317646</v>
      </c>
      <c r="AO70" s="251">
        <v>271163</v>
      </c>
      <c r="AP70" s="251">
        <v>195249</v>
      </c>
      <c r="AQ70" s="251">
        <v>240899</v>
      </c>
      <c r="AR70" s="251">
        <v>235054</v>
      </c>
      <c r="AS70" s="251">
        <f>193795+77072</f>
        <v>270867</v>
      </c>
      <c r="AT70" s="251">
        <v>249192</v>
      </c>
      <c r="AU70" s="251">
        <v>261202</v>
      </c>
      <c r="AV70" s="251">
        <v>262763</v>
      </c>
      <c r="AW70" s="251">
        <v>236222</v>
      </c>
      <c r="AX70" s="251">
        <v>225645</v>
      </c>
      <c r="AY70" s="251">
        <v>260873</v>
      </c>
      <c r="AZ70" s="251">
        <v>262083</v>
      </c>
      <c r="BA70" s="251">
        <v>307026</v>
      </c>
      <c r="BB70" s="251">
        <v>361515</v>
      </c>
      <c r="BC70" s="251">
        <v>394228</v>
      </c>
      <c r="BD70" s="150"/>
      <c r="BE70" s="2"/>
    </row>
    <row r="71" spans="1:57" ht="18.75" customHeight="1">
      <c r="A71" s="2"/>
      <c r="B71" s="149" t="s">
        <v>275</v>
      </c>
      <c r="C71" s="149"/>
      <c r="D71" s="149"/>
      <c r="E71" s="251"/>
      <c r="F71" s="251"/>
      <c r="G71" s="251"/>
      <c r="H71" s="251"/>
      <c r="I71" s="251"/>
      <c r="J71" s="251"/>
      <c r="K71" s="251"/>
      <c r="L71" s="251"/>
      <c r="M71" s="251"/>
      <c r="N71" s="251"/>
      <c r="O71" s="251"/>
      <c r="P71" s="251"/>
      <c r="Q71" s="251"/>
      <c r="R71" s="251"/>
      <c r="S71" s="251"/>
      <c r="T71" s="251">
        <v>28654</v>
      </c>
      <c r="U71" s="251">
        <v>54601.431280999997</v>
      </c>
      <c r="V71" s="251">
        <v>53289.231281</v>
      </c>
      <c r="W71" s="251">
        <v>52142.757696949004</v>
      </c>
      <c r="X71" s="251">
        <v>48692.866510475003</v>
      </c>
      <c r="Y71" s="251">
        <v>48466.004331600008</v>
      </c>
      <c r="Z71" s="251">
        <v>79004.789526359993</v>
      </c>
      <c r="AA71" s="251">
        <v>80552</v>
      </c>
      <c r="AB71" s="251">
        <v>161063.42470102999</v>
      </c>
      <c r="AC71" s="251">
        <v>134346</v>
      </c>
      <c r="AD71" s="251">
        <v>128591</v>
      </c>
      <c r="AE71" s="251">
        <v>0</v>
      </c>
      <c r="AF71" s="251">
        <v>0</v>
      </c>
      <c r="AG71" s="251">
        <v>71732</v>
      </c>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150"/>
      <c r="BE71" s="2"/>
    </row>
    <row r="72" spans="1:57" ht="18.75" customHeight="1">
      <c r="A72" s="2"/>
      <c r="B72" s="149" t="s">
        <v>269</v>
      </c>
      <c r="C72" s="149"/>
      <c r="D72" s="149"/>
      <c r="E72" s="251">
        <v>166</v>
      </c>
      <c r="F72" s="251">
        <v>506</v>
      </c>
      <c r="G72" s="251">
        <v>499</v>
      </c>
      <c r="H72" s="251">
        <v>491</v>
      </c>
      <c r="I72" s="251">
        <v>219</v>
      </c>
      <c r="J72" s="251">
        <v>537</v>
      </c>
      <c r="K72" s="251">
        <v>1381</v>
      </c>
      <c r="L72" s="251">
        <v>1051</v>
      </c>
      <c r="M72" s="251">
        <v>1097</v>
      </c>
      <c r="N72" s="251">
        <v>928</v>
      </c>
      <c r="O72" s="251">
        <v>475</v>
      </c>
      <c r="P72" s="251">
        <v>614</v>
      </c>
      <c r="Q72" s="251">
        <v>628</v>
      </c>
      <c r="R72" s="251">
        <v>469</v>
      </c>
      <c r="S72" s="251">
        <v>702</v>
      </c>
      <c r="T72" s="251">
        <v>1114</v>
      </c>
      <c r="U72" s="251">
        <v>1931</v>
      </c>
      <c r="V72" s="251">
        <v>670</v>
      </c>
      <c r="W72" s="251">
        <v>711</v>
      </c>
      <c r="X72" s="251">
        <v>785</v>
      </c>
      <c r="Y72" s="251">
        <v>2335</v>
      </c>
      <c r="Z72" s="251">
        <v>1650</v>
      </c>
      <c r="AA72" s="251">
        <v>1187</v>
      </c>
      <c r="AB72" s="251">
        <v>872</v>
      </c>
      <c r="AC72" s="251">
        <v>283</v>
      </c>
      <c r="AD72" s="251">
        <v>129</v>
      </c>
      <c r="AE72" s="251">
        <v>0</v>
      </c>
      <c r="AF72" s="251">
        <v>0</v>
      </c>
      <c r="AG72" s="251">
        <v>12742</v>
      </c>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150"/>
      <c r="BE72" s="2"/>
    </row>
    <row r="73" spans="1:57" ht="18.75" customHeight="1">
      <c r="A73" s="2"/>
      <c r="B73" s="149" t="s">
        <v>276</v>
      </c>
      <c r="C73" s="149"/>
      <c r="D73" s="149"/>
      <c r="E73" s="251">
        <v>232649.70386899999</v>
      </c>
      <c r="F73" s="251">
        <v>274399.39892299997</v>
      </c>
      <c r="G73" s="251">
        <v>276236.06242700003</v>
      </c>
      <c r="H73" s="251">
        <v>279301.61330099998</v>
      </c>
      <c r="I73" s="251">
        <v>273134.48755141679</v>
      </c>
      <c r="J73" s="251">
        <v>281336.49284299999</v>
      </c>
      <c r="K73" s="251">
        <v>278093</v>
      </c>
      <c r="L73" s="251">
        <v>285245</v>
      </c>
      <c r="M73" s="251">
        <v>283981</v>
      </c>
      <c r="N73" s="251">
        <v>308142.74232600001</v>
      </c>
      <c r="O73" s="251">
        <v>328417</v>
      </c>
      <c r="P73" s="251">
        <v>341959</v>
      </c>
      <c r="Q73" s="251">
        <v>339670</v>
      </c>
      <c r="R73" s="251">
        <v>367069</v>
      </c>
      <c r="S73" s="251">
        <v>381371</v>
      </c>
      <c r="T73" s="251">
        <v>260415</v>
      </c>
      <c r="U73" s="251">
        <v>255806</v>
      </c>
      <c r="V73" s="251">
        <v>270748</v>
      </c>
      <c r="W73" s="251">
        <v>278731</v>
      </c>
      <c r="X73" s="251">
        <v>273659.75741802301</v>
      </c>
      <c r="Y73" s="251">
        <v>268537.08862833504</v>
      </c>
      <c r="Z73" s="251">
        <v>298517.95820361999</v>
      </c>
      <c r="AA73" s="251">
        <v>304215</v>
      </c>
      <c r="AB73" s="251">
        <v>301978.58497650002</v>
      </c>
      <c r="AC73" s="251">
        <v>277675</v>
      </c>
      <c r="AD73" s="251">
        <v>293727</v>
      </c>
      <c r="AE73" s="251">
        <v>306509</v>
      </c>
      <c r="AF73" s="251">
        <v>297379</v>
      </c>
      <c r="AG73" s="251">
        <v>280031</v>
      </c>
      <c r="AH73" s="251">
        <v>289267</v>
      </c>
      <c r="AI73" s="251">
        <v>267212</v>
      </c>
      <c r="AJ73" s="251">
        <v>294583</v>
      </c>
      <c r="AK73" s="251">
        <v>250199</v>
      </c>
      <c r="AL73" s="251">
        <v>272472</v>
      </c>
      <c r="AM73" s="251">
        <v>274995</v>
      </c>
      <c r="AN73" s="251">
        <v>301101</v>
      </c>
      <c r="AO73" s="251">
        <v>278721</v>
      </c>
      <c r="AP73" s="251">
        <v>304919</v>
      </c>
      <c r="AQ73" s="251">
        <v>298625</v>
      </c>
      <c r="AR73" s="251">
        <v>308141</v>
      </c>
      <c r="AS73" s="251">
        <v>292741</v>
      </c>
      <c r="AT73" s="251">
        <v>319775</v>
      </c>
      <c r="AU73" s="251">
        <v>333554</v>
      </c>
      <c r="AV73" s="251">
        <v>343933</v>
      </c>
      <c r="AW73" s="251">
        <v>328946</v>
      </c>
      <c r="AX73" s="251">
        <v>361185</v>
      </c>
      <c r="AY73" s="251">
        <v>360453</v>
      </c>
      <c r="AZ73" s="251">
        <v>367843</v>
      </c>
      <c r="BA73" s="251">
        <v>351325</v>
      </c>
      <c r="BB73" s="251">
        <v>382085</v>
      </c>
      <c r="BC73" s="251">
        <v>395892</v>
      </c>
      <c r="BD73" s="150"/>
      <c r="BE73" s="2"/>
    </row>
    <row r="74" spans="1:57" ht="18.75" customHeight="1">
      <c r="A74" s="2"/>
      <c r="B74" s="149" t="s">
        <v>255</v>
      </c>
      <c r="C74" s="149"/>
      <c r="D74" s="149"/>
      <c r="E74" s="251"/>
      <c r="F74" s="251"/>
      <c r="G74" s="251"/>
      <c r="H74" s="251"/>
      <c r="I74" s="251"/>
      <c r="J74" s="251"/>
      <c r="K74" s="251"/>
      <c r="L74" s="251"/>
      <c r="M74" s="251"/>
      <c r="N74" s="251"/>
      <c r="O74" s="251"/>
      <c r="P74" s="251"/>
      <c r="Q74" s="251"/>
      <c r="R74" s="251"/>
      <c r="S74" s="251"/>
      <c r="T74" s="251">
        <v>127944</v>
      </c>
      <c r="U74" s="251">
        <v>126688</v>
      </c>
      <c r="V74" s="251">
        <v>119642</v>
      </c>
      <c r="W74" s="251">
        <v>112332</v>
      </c>
      <c r="X74" s="251">
        <v>104108</v>
      </c>
      <c r="Y74" s="251">
        <v>88807.81525866501</v>
      </c>
      <c r="Z74" s="251">
        <v>104717.93646</v>
      </c>
      <c r="AA74" s="251">
        <v>141402</v>
      </c>
      <c r="AB74" s="251">
        <v>113787.73974200001</v>
      </c>
      <c r="AC74" s="251">
        <v>140605</v>
      </c>
      <c r="AD74" s="251">
        <v>148497</v>
      </c>
      <c r="AE74" s="251">
        <v>152210</v>
      </c>
      <c r="AF74" s="251">
        <v>165861</v>
      </c>
      <c r="AG74" s="251">
        <v>172548</v>
      </c>
      <c r="AH74" s="251">
        <v>153359</v>
      </c>
      <c r="AI74" s="251">
        <v>190819</v>
      </c>
      <c r="AJ74" s="251">
        <v>157535</v>
      </c>
      <c r="AK74" s="251">
        <v>168922</v>
      </c>
      <c r="AL74" s="251">
        <v>157793</v>
      </c>
      <c r="AM74" s="251">
        <v>162128.893002</v>
      </c>
      <c r="AN74" s="251">
        <v>168567.18011099999</v>
      </c>
      <c r="AO74" s="251">
        <v>202187.03326699999</v>
      </c>
      <c r="AP74" s="251">
        <v>242530.459642</v>
      </c>
      <c r="AQ74" s="251">
        <v>167600.25042900001</v>
      </c>
      <c r="AR74" s="251">
        <v>161477</v>
      </c>
      <c r="AS74" s="251">
        <f>995+194415</f>
        <v>195410</v>
      </c>
      <c r="AT74" s="251">
        <v>192386.14980300001</v>
      </c>
      <c r="AU74" s="251">
        <v>174966.341816</v>
      </c>
      <c r="AV74" s="251">
        <v>207426.51223399999</v>
      </c>
      <c r="AW74" s="251">
        <v>243067.60882299999</v>
      </c>
      <c r="AX74" s="251">
        <v>250843.20964099999</v>
      </c>
      <c r="AY74" s="251">
        <v>250640</v>
      </c>
      <c r="AZ74" s="251">
        <v>249374</v>
      </c>
      <c r="BA74" s="251">
        <v>265662.77915861155</v>
      </c>
      <c r="BB74" s="251">
        <v>243820</v>
      </c>
      <c r="BC74" s="251">
        <v>272176.67265615839</v>
      </c>
      <c r="BD74" s="150"/>
      <c r="BE74" s="2"/>
    </row>
    <row r="75" spans="1:57" ht="18.75" customHeight="1">
      <c r="A75" s="2"/>
      <c r="B75" s="149" t="s">
        <v>270</v>
      </c>
      <c r="C75" s="149"/>
      <c r="D75" s="149"/>
      <c r="E75" s="251">
        <v>43282</v>
      </c>
      <c r="F75" s="251">
        <v>38410</v>
      </c>
      <c r="G75" s="251">
        <v>36283.278106000042</v>
      </c>
      <c r="H75" s="251">
        <v>38443</v>
      </c>
      <c r="I75" s="251">
        <v>39559.771616999991</v>
      </c>
      <c r="J75" s="251">
        <v>42181</v>
      </c>
      <c r="K75" s="251">
        <v>44583.983295999933</v>
      </c>
      <c r="L75" s="251">
        <v>45831.965015999973</v>
      </c>
      <c r="M75" s="251">
        <v>44898.670751000063</v>
      </c>
      <c r="N75" s="251">
        <v>45944.003368999809</v>
      </c>
      <c r="O75" s="251">
        <v>46775</v>
      </c>
      <c r="P75" s="251">
        <v>48387</v>
      </c>
      <c r="Q75" s="251">
        <v>50074</v>
      </c>
      <c r="R75" s="251">
        <v>48077</v>
      </c>
      <c r="S75" s="251">
        <v>48565</v>
      </c>
      <c r="T75" s="251">
        <v>51600</v>
      </c>
      <c r="U75" s="251">
        <v>51336</v>
      </c>
      <c r="V75" s="251">
        <v>48846</v>
      </c>
      <c r="W75" s="251">
        <v>48641</v>
      </c>
      <c r="X75" s="251">
        <v>47207</v>
      </c>
      <c r="Y75" s="251">
        <v>48785</v>
      </c>
      <c r="Z75" s="251">
        <v>48653</v>
      </c>
      <c r="AA75" s="251">
        <v>43885</v>
      </c>
      <c r="AB75" s="251">
        <v>43320</v>
      </c>
      <c r="AC75" s="251">
        <v>48666</v>
      </c>
      <c r="AD75" s="251">
        <v>51021</v>
      </c>
      <c r="AE75" s="251">
        <v>0</v>
      </c>
      <c r="AF75" s="251">
        <v>0</v>
      </c>
      <c r="AG75" s="251">
        <v>43993</v>
      </c>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150"/>
      <c r="BE75" s="2"/>
    </row>
    <row r="76" spans="1:57" ht="18.75" customHeight="1">
      <c r="A76" s="2"/>
      <c r="B76" s="149" t="s">
        <v>271</v>
      </c>
      <c r="C76" s="149"/>
      <c r="D76" s="149"/>
      <c r="E76" s="251">
        <v>1290</v>
      </c>
      <c r="F76" s="251">
        <v>1714</v>
      </c>
      <c r="G76" s="251">
        <v>1745.4</v>
      </c>
      <c r="H76" s="251">
        <v>1637</v>
      </c>
      <c r="I76" s="251">
        <v>1835</v>
      </c>
      <c r="J76" s="251">
        <v>1849</v>
      </c>
      <c r="K76" s="251">
        <v>1895</v>
      </c>
      <c r="L76" s="251">
        <v>1680</v>
      </c>
      <c r="M76" s="251">
        <v>1725</v>
      </c>
      <c r="N76" s="251">
        <v>1980</v>
      </c>
      <c r="O76" s="251">
        <v>2172</v>
      </c>
      <c r="P76" s="251">
        <v>1980</v>
      </c>
      <c r="Q76" s="251">
        <v>2061</v>
      </c>
      <c r="R76" s="251">
        <v>2240</v>
      </c>
      <c r="S76" s="251">
        <v>2317</v>
      </c>
      <c r="T76" s="251">
        <v>2362</v>
      </c>
      <c r="U76" s="251">
        <v>2332</v>
      </c>
      <c r="V76" s="251">
        <v>2419</v>
      </c>
      <c r="W76" s="251">
        <v>2603</v>
      </c>
      <c r="X76" s="251">
        <v>2317</v>
      </c>
      <c r="Y76" s="251">
        <v>2215</v>
      </c>
      <c r="Z76" s="251">
        <v>2373</v>
      </c>
      <c r="AA76" s="251">
        <v>2330</v>
      </c>
      <c r="AB76" s="251">
        <v>2403</v>
      </c>
      <c r="AC76" s="251">
        <v>2384</v>
      </c>
      <c r="AD76" s="251">
        <v>2478</v>
      </c>
      <c r="AE76" s="251">
        <v>0</v>
      </c>
      <c r="AF76" s="251">
        <v>0</v>
      </c>
      <c r="AG76" s="251">
        <v>2197</v>
      </c>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150"/>
      <c r="BE76" s="2"/>
    </row>
    <row r="77" spans="1:57" ht="18.75" customHeight="1">
      <c r="A77" s="2"/>
      <c r="B77" s="149" t="s">
        <v>277</v>
      </c>
      <c r="C77" s="149"/>
      <c r="D77" s="149"/>
      <c r="E77" s="251">
        <v>7596</v>
      </c>
      <c r="F77" s="251">
        <v>6307.1733960000001</v>
      </c>
      <c r="G77" s="251">
        <v>3467.5520770000003</v>
      </c>
      <c r="H77" s="251">
        <v>5175.7565399999994</v>
      </c>
      <c r="I77" s="251">
        <v>7627.7359189031986</v>
      </c>
      <c r="J77" s="251">
        <v>8499.7473370000007</v>
      </c>
      <c r="K77" s="251">
        <v>7960.2585399999998</v>
      </c>
      <c r="L77" s="251">
        <v>14478</v>
      </c>
      <c r="M77" s="251">
        <v>12032.037597</v>
      </c>
      <c r="N77" s="251">
        <v>10373.217534000001</v>
      </c>
      <c r="O77" s="251">
        <v>12384.257053999998</v>
      </c>
      <c r="P77" s="251">
        <v>9489.1129280000005</v>
      </c>
      <c r="Q77" s="251">
        <v>9270.5644859999993</v>
      </c>
      <c r="R77" s="251">
        <v>9964.7468090000002</v>
      </c>
      <c r="S77" s="251">
        <v>6474.8202290000008</v>
      </c>
      <c r="T77" s="251">
        <v>8958.295881</v>
      </c>
      <c r="U77" s="251">
        <v>9296.4982349999991</v>
      </c>
      <c r="V77" s="251">
        <v>7670.9030130000001</v>
      </c>
      <c r="W77" s="251">
        <v>8904.1887491710113</v>
      </c>
      <c r="X77" s="251">
        <v>8063.28098321998</v>
      </c>
      <c r="Y77" s="251">
        <v>6088.5488899910024</v>
      </c>
      <c r="Z77" s="251">
        <v>7349.7607347610028</v>
      </c>
      <c r="AA77" s="251">
        <v>9445</v>
      </c>
      <c r="AB77" s="251">
        <v>10272.941777874999</v>
      </c>
      <c r="AC77" s="251">
        <v>11058</v>
      </c>
      <c r="AD77" s="251">
        <v>10597</v>
      </c>
      <c r="AE77" s="251">
        <v>0</v>
      </c>
      <c r="AF77" s="251">
        <v>0</v>
      </c>
      <c r="AG77" s="251">
        <v>8228</v>
      </c>
      <c r="AH77" s="251">
        <v>9472</v>
      </c>
      <c r="AI77" s="251">
        <v>10189</v>
      </c>
      <c r="AJ77" s="251">
        <v>11847</v>
      </c>
      <c r="AK77" s="251">
        <v>13519</v>
      </c>
      <c r="AL77" s="251">
        <v>9132</v>
      </c>
      <c r="AM77" s="251">
        <v>10867</v>
      </c>
      <c r="AN77" s="251">
        <v>12680</v>
      </c>
      <c r="AO77" s="251">
        <v>15199</v>
      </c>
      <c r="AP77" s="251">
        <v>10547</v>
      </c>
      <c r="AQ77" s="251">
        <v>14603</v>
      </c>
      <c r="AR77" s="251">
        <v>16970</v>
      </c>
      <c r="AS77" s="251">
        <v>20725</v>
      </c>
      <c r="AT77" s="251">
        <v>14073</v>
      </c>
      <c r="AU77" s="251">
        <v>18591</v>
      </c>
      <c r="AV77" s="251">
        <v>16138</v>
      </c>
      <c r="AW77" s="251">
        <v>17972</v>
      </c>
      <c r="AX77" s="251">
        <v>9745</v>
      </c>
      <c r="AY77" s="251">
        <v>32810</v>
      </c>
      <c r="AZ77" s="251">
        <v>32165</v>
      </c>
      <c r="BA77" s="251">
        <v>33031</v>
      </c>
      <c r="BB77" s="251">
        <v>16640</v>
      </c>
      <c r="BC77" s="251">
        <v>16773</v>
      </c>
      <c r="BD77" s="150"/>
      <c r="BE77" s="2"/>
    </row>
    <row r="78" spans="1:57" ht="18.75" customHeight="1">
      <c r="A78" s="2"/>
      <c r="B78" s="149" t="s">
        <v>278</v>
      </c>
      <c r="C78" s="149"/>
      <c r="D78" s="149"/>
      <c r="E78" s="251">
        <v>10811</v>
      </c>
      <c r="F78" s="251">
        <v>16245</v>
      </c>
      <c r="G78" s="251">
        <v>15694</v>
      </c>
      <c r="H78" s="251">
        <v>17863</v>
      </c>
      <c r="I78" s="251">
        <v>13921.951532679996</v>
      </c>
      <c r="J78" s="251">
        <v>19069</v>
      </c>
      <c r="K78" s="251">
        <v>20095</v>
      </c>
      <c r="L78" s="251">
        <v>20749</v>
      </c>
      <c r="M78" s="251">
        <v>15277</v>
      </c>
      <c r="N78" s="251">
        <v>26082</v>
      </c>
      <c r="O78" s="251">
        <v>24003</v>
      </c>
      <c r="P78" s="251">
        <v>25217</v>
      </c>
      <c r="Q78" s="251">
        <v>15897</v>
      </c>
      <c r="R78" s="251">
        <v>28177</v>
      </c>
      <c r="S78" s="251">
        <v>27098</v>
      </c>
      <c r="T78" s="251">
        <v>28079</v>
      </c>
      <c r="U78" s="251">
        <v>21844</v>
      </c>
      <c r="V78" s="251">
        <v>30897</v>
      </c>
      <c r="W78" s="251">
        <v>34288</v>
      </c>
      <c r="X78" s="251">
        <v>35887</v>
      </c>
      <c r="Y78" s="251">
        <v>34770</v>
      </c>
      <c r="Z78" s="251">
        <v>31964</v>
      </c>
      <c r="AA78" s="251">
        <v>34949</v>
      </c>
      <c r="AB78" s="251">
        <v>36855</v>
      </c>
      <c r="AC78" s="251">
        <v>37813</v>
      </c>
      <c r="AD78" s="251">
        <v>45256</v>
      </c>
      <c r="AE78" s="251">
        <v>95544</v>
      </c>
      <c r="AF78" s="251">
        <v>97248</v>
      </c>
      <c r="AG78" s="251">
        <v>41723</v>
      </c>
      <c r="AH78" s="251">
        <v>80887</v>
      </c>
      <c r="AI78" s="251">
        <v>546082</v>
      </c>
      <c r="AJ78" s="251">
        <v>578290</v>
      </c>
      <c r="AK78" s="251">
        <v>554425</v>
      </c>
      <c r="AL78" s="251">
        <v>636956</v>
      </c>
      <c r="AM78" s="251">
        <v>347197</v>
      </c>
      <c r="AN78" s="251">
        <v>317743</v>
      </c>
      <c r="AO78" s="251">
        <v>349089</v>
      </c>
      <c r="AP78" s="251">
        <v>344098</v>
      </c>
      <c r="AQ78" s="251">
        <v>350311</v>
      </c>
      <c r="AR78" s="251">
        <v>364299</v>
      </c>
      <c r="AS78" s="251">
        <f>AS82-AS77-AS74-AS73-AS70</f>
        <v>360517</v>
      </c>
      <c r="AT78" s="251">
        <v>370277</v>
      </c>
      <c r="AU78" s="251">
        <v>378874</v>
      </c>
      <c r="AV78" s="251">
        <v>399191</v>
      </c>
      <c r="AW78" s="251">
        <v>393430</v>
      </c>
      <c r="AX78" s="251">
        <v>399916.427170259</v>
      </c>
      <c r="AY78" s="251">
        <v>411132</v>
      </c>
      <c r="AZ78" s="251">
        <v>421745</v>
      </c>
      <c r="BA78" s="251">
        <v>429633.21938638849</v>
      </c>
      <c r="BB78" s="251">
        <v>435191</v>
      </c>
      <c r="BC78" s="251">
        <v>462548.70593484159</v>
      </c>
      <c r="BD78" s="150"/>
      <c r="BE78" s="2"/>
    </row>
    <row r="79" spans="1:57" ht="18.75" customHeight="1">
      <c r="A79" s="2"/>
      <c r="B79" s="149" t="s">
        <v>279</v>
      </c>
      <c r="C79" s="149"/>
      <c r="D79" s="149"/>
      <c r="E79" s="251"/>
      <c r="F79" s="251"/>
      <c r="G79" s="251"/>
      <c r="H79" s="251"/>
      <c r="I79" s="251"/>
      <c r="J79" s="251">
        <v>0</v>
      </c>
      <c r="K79" s="251">
        <v>0</v>
      </c>
      <c r="L79" s="251">
        <v>0</v>
      </c>
      <c r="M79" s="251">
        <v>0</v>
      </c>
      <c r="N79" s="251">
        <v>1363.257674</v>
      </c>
      <c r="O79" s="251">
        <v>3349.024343</v>
      </c>
      <c r="P79" s="251">
        <v>5737.0728449999997</v>
      </c>
      <c r="Q79" s="251">
        <v>5445.1249520000001</v>
      </c>
      <c r="R79" s="251">
        <v>2702.9263460000002</v>
      </c>
      <c r="S79" s="251">
        <v>326.93022400000001</v>
      </c>
      <c r="T79" s="251">
        <v>192</v>
      </c>
      <c r="U79" s="251">
        <v>1039</v>
      </c>
      <c r="V79" s="251">
        <v>1445</v>
      </c>
      <c r="W79" s="251">
        <v>868</v>
      </c>
      <c r="X79" s="251">
        <v>893</v>
      </c>
      <c r="Y79" s="251">
        <v>0</v>
      </c>
      <c r="Z79" s="251">
        <v>0</v>
      </c>
      <c r="AA79" s="251">
        <v>0</v>
      </c>
      <c r="AB79" s="251">
        <v>0</v>
      </c>
      <c r="AC79" s="251">
        <v>0</v>
      </c>
      <c r="AD79" s="251">
        <v>0</v>
      </c>
      <c r="AE79" s="251">
        <v>0</v>
      </c>
      <c r="AF79" s="251">
        <v>0</v>
      </c>
      <c r="AG79" s="251">
        <v>0</v>
      </c>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150"/>
      <c r="BE79" s="2"/>
    </row>
    <row r="80" spans="1:57" ht="0.75" customHeight="1">
      <c r="A80" s="2"/>
      <c r="B80" s="147"/>
      <c r="C80" s="147"/>
      <c r="D80" s="147"/>
      <c r="E80" s="251"/>
      <c r="F80" s="251"/>
      <c r="G80" s="251"/>
      <c r="H80" s="251"/>
      <c r="I80" s="251"/>
      <c r="J80" s="251"/>
      <c r="K80" s="251"/>
      <c r="L80" s="251"/>
      <c r="M80" s="251"/>
      <c r="N80" s="251"/>
      <c r="O80" s="251"/>
      <c r="P80" s="251"/>
      <c r="Q80" s="251"/>
      <c r="R80" s="251"/>
      <c r="S80" s="251"/>
      <c r="T80" s="251"/>
      <c r="U80" s="251"/>
      <c r="V80" s="251"/>
      <c r="W80" s="251"/>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150"/>
      <c r="BE80" s="2"/>
    </row>
    <row r="81" spans="1:61" ht="6" customHeight="1">
      <c r="A81" s="2"/>
      <c r="B81" s="146"/>
      <c r="C81" s="146"/>
      <c r="D81" s="146"/>
      <c r="E81" s="251"/>
      <c r="F81" s="251"/>
      <c r="G81" s="251"/>
      <c r="H81" s="251"/>
      <c r="I81" s="251"/>
      <c r="J81" s="251"/>
      <c r="K81" s="251"/>
      <c r="L81" s="251"/>
      <c r="M81" s="251"/>
      <c r="N81" s="251"/>
      <c r="O81" s="251"/>
      <c r="P81" s="251"/>
      <c r="Q81" s="251"/>
      <c r="R81" s="251"/>
      <c r="S81" s="251"/>
      <c r="T81" s="251">
        <v>0</v>
      </c>
      <c r="U81" s="251">
        <v>0</v>
      </c>
      <c r="V81" s="251">
        <v>0</v>
      </c>
      <c r="W81" s="251">
        <v>0</v>
      </c>
      <c r="X81" s="251">
        <v>0</v>
      </c>
      <c r="Y81" s="251">
        <v>0</v>
      </c>
      <c r="Z81" s="251">
        <v>0</v>
      </c>
      <c r="AA81" s="251"/>
      <c r="AB81" s="251">
        <v>0</v>
      </c>
      <c r="AC81" s="251">
        <v>0</v>
      </c>
      <c r="AD81" s="251">
        <v>0</v>
      </c>
      <c r="AE81" s="251">
        <v>0</v>
      </c>
      <c r="AF81" s="251">
        <v>0</v>
      </c>
      <c r="AG81" s="251">
        <v>0</v>
      </c>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150"/>
      <c r="BE81" s="2"/>
    </row>
    <row r="82" spans="1:61" ht="17.25" customHeight="1">
      <c r="A82" s="2"/>
      <c r="B82" s="587" t="s">
        <v>274</v>
      </c>
      <c r="C82" s="587"/>
      <c r="D82" s="587"/>
      <c r="E82" s="263">
        <v>488872.70386899996</v>
      </c>
      <c r="F82" s="263">
        <v>500656.31839200004</v>
      </c>
      <c r="G82" s="263">
        <v>479781.31797500007</v>
      </c>
      <c r="H82" s="263">
        <v>483716.56365199998</v>
      </c>
      <c r="I82" s="263">
        <v>450420.97664199997</v>
      </c>
      <c r="J82" s="263">
        <v>555318.654477</v>
      </c>
      <c r="K82" s="263">
        <v>535516.241836</v>
      </c>
      <c r="L82" s="263">
        <v>539597.96501599997</v>
      </c>
      <c r="M82" s="263">
        <v>568049.70834800007</v>
      </c>
      <c r="N82" s="263">
        <v>534490.22090299986</v>
      </c>
      <c r="O82" s="263">
        <v>500165.13091100001</v>
      </c>
      <c r="P82" s="263">
        <v>622493.70857599995</v>
      </c>
      <c r="Q82" s="263">
        <v>634434.66600699991</v>
      </c>
      <c r="R82" s="263">
        <v>647838.97560200002</v>
      </c>
      <c r="S82" s="263">
        <v>599790.73450400005</v>
      </c>
      <c r="T82" s="263">
        <v>564619</v>
      </c>
      <c r="U82" s="263">
        <v>582111</v>
      </c>
      <c r="V82" s="263">
        <v>613100</v>
      </c>
      <c r="W82" s="263">
        <v>595377</v>
      </c>
      <c r="X82" s="263">
        <v>672402</v>
      </c>
      <c r="Y82" s="263">
        <v>629446.60490189109</v>
      </c>
      <c r="Z82" s="263">
        <v>647675.80634374102</v>
      </c>
      <c r="AA82" s="263">
        <f>SUM(AA70:AA79)</f>
        <v>701808</v>
      </c>
      <c r="AB82" s="263">
        <v>766740.18059420795</v>
      </c>
      <c r="AC82" s="263">
        <v>782399</v>
      </c>
      <c r="AD82" s="263">
        <v>865307</v>
      </c>
      <c r="AE82" s="263">
        <v>913283</v>
      </c>
      <c r="AF82" s="263">
        <v>877787</v>
      </c>
      <c r="AG82" s="263">
        <v>930549</v>
      </c>
      <c r="AH82" s="263">
        <v>751048</v>
      </c>
      <c r="AI82" s="263">
        <v>1271031.58663</v>
      </c>
      <c r="AJ82" s="263">
        <v>1454685.58663</v>
      </c>
      <c r="AK82" s="263">
        <v>1314876</v>
      </c>
      <c r="AL82" s="263">
        <v>1452408</v>
      </c>
      <c r="AM82" s="263">
        <v>1108390.8930019999</v>
      </c>
      <c r="AN82" s="263">
        <v>1117737.1801109998</v>
      </c>
      <c r="AO82" s="263">
        <v>1116359.033267</v>
      </c>
      <c r="AP82" s="263">
        <v>1097343.459642</v>
      </c>
      <c r="AQ82" s="263">
        <v>1072038.250429</v>
      </c>
      <c r="AR82" s="263">
        <v>1085941.0715950001</v>
      </c>
      <c r="AS82" s="263">
        <v>1140260</v>
      </c>
      <c r="AT82" s="263">
        <v>1145703.149803</v>
      </c>
      <c r="AU82" s="263">
        <v>1167187.3418159999</v>
      </c>
      <c r="AV82" s="263">
        <v>1229451.512234</v>
      </c>
      <c r="AW82" s="263">
        <v>1219637.608823</v>
      </c>
      <c r="AX82" s="263">
        <v>1247334.636811259</v>
      </c>
      <c r="AY82" s="263">
        <v>1315907.6592126209</v>
      </c>
      <c r="AZ82" s="263">
        <v>1333210</v>
      </c>
      <c r="BA82" s="263">
        <v>1386677.9985450001</v>
      </c>
      <c r="BB82" s="263">
        <v>1439251</v>
      </c>
      <c r="BC82" s="263">
        <v>1541618.5785910001</v>
      </c>
      <c r="BD82" s="152"/>
      <c r="BE82" s="2"/>
    </row>
    <row r="83" spans="1:61" ht="2.25" customHeight="1">
      <c r="A83" s="2"/>
      <c r="B83" s="147"/>
      <c r="C83" s="147"/>
      <c r="D83" s="147"/>
      <c r="E83" s="251"/>
      <c r="F83" s="251"/>
      <c r="G83" s="251"/>
      <c r="H83" s="251"/>
      <c r="I83" s="251"/>
      <c r="J83" s="251"/>
      <c r="K83" s="251"/>
      <c r="L83" s="251"/>
      <c r="M83" s="251"/>
      <c r="N83" s="251"/>
      <c r="O83" s="251"/>
      <c r="P83" s="251"/>
      <c r="Q83" s="251"/>
      <c r="R83" s="251"/>
      <c r="S83" s="251"/>
      <c r="T83" s="251"/>
      <c r="U83" s="251"/>
      <c r="V83" s="251"/>
      <c r="W83" s="251"/>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150"/>
      <c r="BE83" s="2"/>
    </row>
    <row r="84" spans="1:61" ht="14.25" customHeight="1">
      <c r="A84" s="2"/>
      <c r="B84" s="147"/>
      <c r="C84" s="147"/>
      <c r="D84" s="147"/>
      <c r="E84" s="251"/>
      <c r="F84" s="251"/>
      <c r="G84" s="251"/>
      <c r="H84" s="251"/>
      <c r="I84" s="251"/>
      <c r="J84" s="251"/>
      <c r="K84" s="251"/>
      <c r="L84" s="251"/>
      <c r="M84" s="251"/>
      <c r="N84" s="251"/>
      <c r="O84" s="251"/>
      <c r="P84" s="251"/>
      <c r="Q84" s="251"/>
      <c r="R84" s="251"/>
      <c r="S84" s="251"/>
      <c r="T84" s="251"/>
      <c r="U84" s="251"/>
      <c r="V84" s="251"/>
      <c r="W84" s="251"/>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150"/>
      <c r="BE84" s="2"/>
    </row>
    <row r="85" spans="1:61">
      <c r="A85" s="2"/>
      <c r="B85" s="147" t="s">
        <v>280</v>
      </c>
      <c r="C85" s="147"/>
      <c r="D85" s="147"/>
      <c r="E85" s="265">
        <v>1036807.703869</v>
      </c>
      <c r="F85" s="265">
        <v>1137279.3183920002</v>
      </c>
      <c r="G85" s="265">
        <v>1099741.9179750001</v>
      </c>
      <c r="H85" s="265">
        <v>1150570.9636520001</v>
      </c>
      <c r="I85" s="265">
        <v>1129128.8766419999</v>
      </c>
      <c r="J85" s="265">
        <v>1162233.3564149996</v>
      </c>
      <c r="K85" s="265">
        <v>1164226.241836</v>
      </c>
      <c r="L85" s="265">
        <v>1172252.965016</v>
      </c>
      <c r="M85" s="265">
        <v>1192109.708348</v>
      </c>
      <c r="N85" s="265">
        <v>1170651.2209029999</v>
      </c>
      <c r="O85" s="265">
        <v>1224212.1309110001</v>
      </c>
      <c r="P85" s="265">
        <v>1293358.7085759998</v>
      </c>
      <c r="Q85" s="265">
        <v>1289728.7460070001</v>
      </c>
      <c r="R85" s="265">
        <v>1473789.975602</v>
      </c>
      <c r="S85" s="265">
        <v>1440646.7345040001</v>
      </c>
      <c r="T85" s="265">
        <v>1485306</v>
      </c>
      <c r="U85" s="265">
        <v>1534557</v>
      </c>
      <c r="V85" s="265">
        <v>1556090</v>
      </c>
      <c r="W85" s="265">
        <v>1536279</v>
      </c>
      <c r="X85" s="265">
        <v>1675644</v>
      </c>
      <c r="Y85" s="265">
        <v>1584188.6049018912</v>
      </c>
      <c r="Z85" s="265">
        <v>1579024.806343741</v>
      </c>
      <c r="AA85" s="265">
        <v>1647756</v>
      </c>
      <c r="AB85" s="265">
        <v>1627315.891798208</v>
      </c>
      <c r="AC85" s="265">
        <v>1722333</v>
      </c>
      <c r="AD85" s="265">
        <v>1833649</v>
      </c>
      <c r="AE85" s="265">
        <v>1926507</v>
      </c>
      <c r="AF85" s="265">
        <v>1863055</v>
      </c>
      <c r="AG85" s="265">
        <v>1902495</v>
      </c>
      <c r="AH85" s="265">
        <v>1915803</v>
      </c>
      <c r="AI85" s="265">
        <v>2486077</v>
      </c>
      <c r="AJ85" s="265">
        <v>2603054</v>
      </c>
      <c r="AK85" s="265">
        <v>2586495</v>
      </c>
      <c r="AL85" s="265">
        <v>2662899</v>
      </c>
      <c r="AM85" s="265">
        <v>2560222.8930019997</v>
      </c>
      <c r="AN85" s="265">
        <v>2566069.1801109998</v>
      </c>
      <c r="AO85" s="265">
        <v>2648012.0332669998</v>
      </c>
      <c r="AP85" s="265">
        <v>2737650.459642</v>
      </c>
      <c r="AQ85" s="265">
        <v>2822844.2504289998</v>
      </c>
      <c r="AR85" s="265">
        <v>2734304.0715950001</v>
      </c>
      <c r="AS85" s="265">
        <v>2717210</v>
      </c>
      <c r="AT85" s="265">
        <v>2807052.149803</v>
      </c>
      <c r="AU85" s="265">
        <v>3238291.3418159997</v>
      </c>
      <c r="AV85" s="265">
        <v>3356398.512234</v>
      </c>
      <c r="AW85" s="265">
        <v>3401889</v>
      </c>
      <c r="AX85" s="265">
        <v>3435469.6368112592</v>
      </c>
      <c r="AY85" s="265">
        <v>3386868.6592126209</v>
      </c>
      <c r="AZ85" s="265">
        <v>3421458</v>
      </c>
      <c r="BA85" s="265">
        <v>3389670.9985450003</v>
      </c>
      <c r="BB85" s="265">
        <v>3330572</v>
      </c>
      <c r="BC85" s="265">
        <v>3506791.2053670003</v>
      </c>
      <c r="BD85" s="152"/>
      <c r="BE85" s="2"/>
    </row>
    <row r="86" spans="1:61" ht="15.7" thickBot="1">
      <c r="A86" s="2"/>
      <c r="B86" s="589" t="s">
        <v>281</v>
      </c>
      <c r="C86" s="589"/>
      <c r="D86" s="589"/>
      <c r="E86" s="264">
        <v>1570615.7038690001</v>
      </c>
      <c r="F86" s="264">
        <v>1660128.3183920002</v>
      </c>
      <c r="G86" s="264">
        <v>1619563.5684540002</v>
      </c>
      <c r="H86" s="264">
        <v>1708826.0141</v>
      </c>
      <c r="I86" s="264">
        <v>1673231.560697</v>
      </c>
      <c r="J86" s="264">
        <v>1781266.3938609995</v>
      </c>
      <c r="K86" s="264">
        <v>1793247.27682</v>
      </c>
      <c r="L86" s="264">
        <v>1805938</v>
      </c>
      <c r="M86" s="264">
        <v>1831771.708348</v>
      </c>
      <c r="N86" s="264">
        <v>1820725.2209029999</v>
      </c>
      <c r="O86" s="264">
        <v>1883814.1309110001</v>
      </c>
      <c r="P86" s="264">
        <v>1946210.7085759998</v>
      </c>
      <c r="Q86" s="264">
        <v>1957818.488988</v>
      </c>
      <c r="R86" s="264">
        <v>2163972.975602</v>
      </c>
      <c r="S86" s="264">
        <v>2117890.7345040003</v>
      </c>
      <c r="T86" s="264">
        <v>2189996</v>
      </c>
      <c r="U86" s="264">
        <v>2257231</v>
      </c>
      <c r="V86" s="264">
        <v>2251272</v>
      </c>
      <c r="W86" s="264">
        <v>2222575</v>
      </c>
      <c r="X86" s="264">
        <v>2363764</v>
      </c>
      <c r="Y86" s="264">
        <v>2327501.6049018912</v>
      </c>
      <c r="Z86" s="264">
        <v>2329270.8063437408</v>
      </c>
      <c r="AA86" s="264">
        <v>2418944</v>
      </c>
      <c r="AB86" s="264">
        <v>2427085.4667692082</v>
      </c>
      <c r="AC86" s="264">
        <v>2505816</v>
      </c>
      <c r="AD86" s="264">
        <v>2618536</v>
      </c>
      <c r="AE86" s="264">
        <v>2690503</v>
      </c>
      <c r="AF86" s="264">
        <v>2695114</v>
      </c>
      <c r="AG86" s="264">
        <v>2751975</v>
      </c>
      <c r="AH86" s="264">
        <v>2955932.0316314199</v>
      </c>
      <c r="AI86" s="264">
        <v>3355935.9515030626</v>
      </c>
      <c r="AJ86" s="264">
        <v>3513880.6214496</v>
      </c>
      <c r="AK86" s="264">
        <v>3607789</v>
      </c>
      <c r="AL86" s="264">
        <v>3521345</v>
      </c>
      <c r="AM86" s="264">
        <v>3403192.8930019997</v>
      </c>
      <c r="AN86" s="264">
        <v>3344480.1801109998</v>
      </c>
      <c r="AO86" s="264">
        <v>3460278.0332669998</v>
      </c>
      <c r="AP86" s="264">
        <v>3558593.459642</v>
      </c>
      <c r="AQ86" s="264">
        <v>3658360.2504289998</v>
      </c>
      <c r="AR86" s="264">
        <v>3621940.0715950001</v>
      </c>
      <c r="AS86" s="264">
        <v>3636560</v>
      </c>
      <c r="AT86" s="264">
        <v>3753160.149803</v>
      </c>
      <c r="AU86" s="264">
        <v>4243886.3418159997</v>
      </c>
      <c r="AV86" s="264">
        <v>4378397.4222339997</v>
      </c>
      <c r="AW86" s="264">
        <v>4466332</v>
      </c>
      <c r="AX86" s="264">
        <v>4466001.6368112592</v>
      </c>
      <c r="AY86" s="264">
        <v>4420960.6592126209</v>
      </c>
      <c r="AZ86" s="264">
        <v>4456927</v>
      </c>
      <c r="BA86" s="264">
        <v>4445309.9985450003</v>
      </c>
      <c r="BB86" s="264">
        <v>4450907</v>
      </c>
      <c r="BC86" s="264">
        <v>4609821.2053669998</v>
      </c>
      <c r="BD86" s="152"/>
      <c r="BE86" s="2"/>
    </row>
    <row r="87" spans="1:61" ht="15.7" thickTop="1">
      <c r="A87" s="2"/>
      <c r="B87" s="147"/>
      <c r="C87" s="147"/>
      <c r="D87" s="147"/>
      <c r="E87" s="265"/>
      <c r="F87" s="265"/>
      <c r="G87" s="265"/>
      <c r="H87" s="265"/>
      <c r="I87" s="265"/>
      <c r="J87" s="265"/>
      <c r="K87" s="265"/>
      <c r="L87" s="265"/>
      <c r="M87" s="265"/>
      <c r="N87" s="265"/>
      <c r="O87" s="265"/>
      <c r="P87" s="265"/>
      <c r="Q87" s="265"/>
      <c r="R87" s="265"/>
      <c r="S87" s="265"/>
      <c r="T87" s="265"/>
      <c r="U87" s="265"/>
      <c r="V87" s="265"/>
      <c r="W87" s="265"/>
      <c r="X87" s="265"/>
      <c r="Y87" s="265"/>
      <c r="Z87" s="265"/>
      <c r="AA87" s="265"/>
      <c r="AB87" s="265"/>
      <c r="AC87" s="265"/>
      <c r="AD87" s="265"/>
      <c r="AE87" s="265"/>
      <c r="AF87" s="265"/>
      <c r="AG87" s="265"/>
      <c r="AH87" s="265"/>
      <c r="AI87" s="265"/>
      <c r="AJ87" s="265"/>
      <c r="AK87" s="265"/>
      <c r="AL87" s="265"/>
      <c r="AM87" s="265"/>
      <c r="AN87" s="265"/>
      <c r="AO87" s="265"/>
      <c r="AP87" s="265"/>
      <c r="AQ87" s="265"/>
      <c r="AR87" s="265"/>
      <c r="AS87" s="265"/>
      <c r="AT87" s="265"/>
      <c r="AU87" s="265"/>
      <c r="AV87" s="265"/>
      <c r="AW87" s="265"/>
      <c r="AX87" s="265"/>
      <c r="AY87" s="265"/>
      <c r="AZ87" s="265"/>
      <c r="BA87" s="265"/>
      <c r="BB87" s="265"/>
      <c r="BC87" s="265"/>
      <c r="BD87" s="152"/>
      <c r="BE87" s="2"/>
    </row>
    <row r="88" spans="1:61">
      <c r="A88" s="2"/>
      <c r="B88" s="147"/>
      <c r="C88" s="147"/>
      <c r="D88" s="147"/>
      <c r="E88" s="265"/>
      <c r="F88" s="265"/>
      <c r="G88" s="265"/>
      <c r="H88" s="265"/>
      <c r="I88" s="265"/>
      <c r="J88" s="265"/>
      <c r="K88" s="265"/>
      <c r="L88" s="265"/>
      <c r="M88" s="265"/>
      <c r="N88" s="265"/>
      <c r="O88" s="265"/>
      <c r="P88" s="265"/>
      <c r="Q88" s="265"/>
      <c r="R88" s="265"/>
      <c r="S88" s="265"/>
      <c r="T88" s="265"/>
      <c r="U88" s="265"/>
      <c r="V88" s="265"/>
      <c r="W88" s="265"/>
      <c r="X88" s="265"/>
      <c r="Y88" s="265"/>
      <c r="Z88" s="265"/>
      <c r="AA88" s="265"/>
      <c r="AB88" s="265"/>
      <c r="AC88" s="265"/>
      <c r="AD88" s="265"/>
      <c r="AE88" s="265"/>
      <c r="AF88" s="265"/>
      <c r="AG88" s="265"/>
      <c r="AH88" s="265"/>
      <c r="AI88" s="265"/>
      <c r="AJ88" s="265"/>
      <c r="AK88" s="265"/>
      <c r="AL88" s="265"/>
      <c r="AM88" s="265"/>
      <c r="AN88" s="265"/>
      <c r="AO88" s="265"/>
      <c r="AP88" s="265"/>
      <c r="AQ88" s="265"/>
      <c r="AR88" s="265"/>
      <c r="AS88" s="265"/>
      <c r="AT88" s="265"/>
      <c r="AU88" s="265"/>
      <c r="AV88" s="265"/>
      <c r="AW88" s="265"/>
      <c r="AX88" s="265"/>
      <c r="AY88" s="265"/>
      <c r="AZ88" s="265"/>
      <c r="BA88" s="265"/>
      <c r="BB88" s="265"/>
      <c r="BC88" s="265"/>
      <c r="BD88" s="152"/>
      <c r="BE88" s="2"/>
    </row>
    <row r="89" spans="1:61">
      <c r="A89" s="2"/>
      <c r="B89" s="2" t="s">
        <v>791</v>
      </c>
      <c r="C89" s="152">
        <f>SUM(C6:C19)+(SUM(C23:C37)-SUM(C53:C54)-SUM(C59:C65)-SUM(C70:C81))</f>
        <v>0</v>
      </c>
      <c r="D89" s="152"/>
      <c r="E89" s="152">
        <f t="shared" ref="E89:AJ89" si="1">SUM(E6:E19)+(SUM(E23:E37)-SUM(E53:E54)-SUM(E59:E65)-SUM(E70:E81))</f>
        <v>-0.18719800002872944</v>
      </c>
      <c r="F89" s="152">
        <f t="shared" si="1"/>
        <v>-2.0000000002328306</v>
      </c>
      <c r="G89" s="152">
        <f t="shared" si="1"/>
        <v>0.1000000003259629</v>
      </c>
      <c r="H89" s="152">
        <f t="shared" si="1"/>
        <v>0.19087899965234101</v>
      </c>
      <c r="I89" s="152">
        <f t="shared" si="1"/>
        <v>0</v>
      </c>
      <c r="J89" s="152">
        <f t="shared" si="1"/>
        <v>0</v>
      </c>
      <c r="K89" s="152">
        <f t="shared" si="1"/>
        <v>0</v>
      </c>
      <c r="L89" s="152">
        <f t="shared" si="1"/>
        <v>0</v>
      </c>
      <c r="M89" s="152">
        <f t="shared" si="1"/>
        <v>0</v>
      </c>
      <c r="N89" s="152">
        <f t="shared" si="1"/>
        <v>0</v>
      </c>
      <c r="O89" s="152">
        <f t="shared" si="1"/>
        <v>0.31160799995996058</v>
      </c>
      <c r="P89" s="152">
        <f t="shared" si="1"/>
        <v>-8.7351000169292092E-2</v>
      </c>
      <c r="Q89" s="152">
        <f t="shared" si="1"/>
        <v>0.81624500011093915</v>
      </c>
      <c r="R89" s="152">
        <f t="shared" si="1"/>
        <v>0.14302299986593425</v>
      </c>
      <c r="S89" s="152">
        <f t="shared" si="1"/>
        <v>-0.78925099968910217</v>
      </c>
      <c r="T89" s="152">
        <f t="shared" si="1"/>
        <v>0.46801399998366833</v>
      </c>
      <c r="U89" s="152">
        <f t="shared" si="1"/>
        <v>-0.46127399965189397</v>
      </c>
      <c r="V89" s="152">
        <f t="shared" si="1"/>
        <v>-1.5651000002399087</v>
      </c>
      <c r="W89" s="152">
        <f t="shared" si="1"/>
        <v>0.6522308939602226</v>
      </c>
      <c r="X89" s="152">
        <f t="shared" si="1"/>
        <v>-0.74287420092150569</v>
      </c>
      <c r="Y89" s="152">
        <f t="shared" si="1"/>
        <v>1.2127682310529053</v>
      </c>
      <c r="Z89" s="152">
        <f t="shared" si="1"/>
        <v>0.65004278579726815</v>
      </c>
      <c r="AA89" s="152">
        <f t="shared" si="1"/>
        <v>0</v>
      </c>
      <c r="AB89" s="152">
        <f t="shared" si="1"/>
        <v>-35517.67230468709</v>
      </c>
      <c r="AC89" s="152">
        <f t="shared" si="1"/>
        <v>-36319</v>
      </c>
      <c r="AD89" s="152">
        <f t="shared" si="1"/>
        <v>-44546</v>
      </c>
      <c r="AE89" s="152">
        <f t="shared" si="1"/>
        <v>9564</v>
      </c>
      <c r="AF89" s="152">
        <f t="shared" si="1"/>
        <v>8345</v>
      </c>
      <c r="AG89" s="152">
        <f t="shared" si="1"/>
        <v>749218</v>
      </c>
      <c r="AH89" s="152">
        <f t="shared" si="1"/>
        <v>-320</v>
      </c>
      <c r="AI89" s="152">
        <f t="shared" si="1"/>
        <v>0</v>
      </c>
      <c r="AJ89" s="152">
        <f t="shared" si="1"/>
        <v>0</v>
      </c>
      <c r="AK89" s="152">
        <f t="shared" ref="AK89:BB89" si="2">SUM(AK6:AK19)+(SUM(AK23:AK37)-SUM(AK53:AK54)-SUM(AK59:AK65)-SUM(AK70:AK81))</f>
        <v>0.22522399993613362</v>
      </c>
      <c r="AL89" s="152">
        <f t="shared" si="2"/>
        <v>0</v>
      </c>
      <c r="AM89" s="152">
        <f t="shared" si="2"/>
        <v>0.10699800029397011</v>
      </c>
      <c r="AN89" s="152">
        <f t="shared" si="2"/>
        <v>-0.18011099984869361</v>
      </c>
      <c r="AO89" s="152">
        <f t="shared" si="2"/>
        <v>-3.3266999758780003E-2</v>
      </c>
      <c r="AP89" s="152">
        <f t="shared" si="2"/>
        <v>-0.45964200003072619</v>
      </c>
      <c r="AQ89" s="152">
        <f t="shared" si="2"/>
        <v>-0.250428999774158</v>
      </c>
      <c r="AR89" s="152">
        <f t="shared" si="2"/>
        <v>0</v>
      </c>
      <c r="AS89" s="152">
        <f t="shared" si="2"/>
        <v>0</v>
      </c>
      <c r="AT89" s="152">
        <f t="shared" si="2"/>
        <v>-0.14980300003662705</v>
      </c>
      <c r="AU89" s="152">
        <f t="shared" si="2"/>
        <v>-0.34181599970906973</v>
      </c>
      <c r="AV89" s="152">
        <f t="shared" si="2"/>
        <v>0.57776599982753396</v>
      </c>
      <c r="AW89" s="152">
        <f t="shared" si="2"/>
        <v>0.49117700010538101</v>
      </c>
      <c r="AX89" s="152">
        <f t="shared" si="2"/>
        <v>-0.63681125920265913</v>
      </c>
      <c r="AY89" s="152">
        <f t="shared" si="2"/>
        <v>0</v>
      </c>
      <c r="AZ89" s="152">
        <f t="shared" si="2"/>
        <v>0</v>
      </c>
      <c r="BA89" s="152">
        <f t="shared" si="2"/>
        <v>0.73751252004876733</v>
      </c>
      <c r="BB89" s="152">
        <f t="shared" si="2"/>
        <v>-0.1651010001078248</v>
      </c>
      <c r="BC89" s="152">
        <f t="shared" ref="BC89" si="3">SUM(BC6:BC19)+(SUM(BC23:BC37)-SUM(BC53:BC54)-SUM(BC59:BC65)-SUM(BC70:BC81))</f>
        <v>0.54585799993947148</v>
      </c>
      <c r="BD89" s="152"/>
      <c r="BE89" s="2"/>
    </row>
    <row r="90" spans="1:61">
      <c r="A90" s="2"/>
      <c r="B90" s="2" t="s">
        <v>887</v>
      </c>
      <c r="C90" s="2"/>
      <c r="D90" s="2"/>
      <c r="E90" s="85"/>
      <c r="F90" s="85"/>
      <c r="G90" s="85"/>
      <c r="H90" s="85"/>
      <c r="I90" s="85"/>
      <c r="J90" s="85"/>
      <c r="K90" s="85"/>
      <c r="L90" s="85"/>
      <c r="M90" s="85"/>
      <c r="N90" s="85"/>
      <c r="O90" s="85"/>
      <c r="P90" s="85"/>
      <c r="Q90" s="85"/>
      <c r="R90" s="85"/>
      <c r="S90" s="85"/>
      <c r="T90" s="85"/>
      <c r="U90" s="85"/>
      <c r="V90" s="85"/>
      <c r="W90" s="85"/>
      <c r="X90" s="85"/>
      <c r="Y90" s="85"/>
      <c r="Z90" s="85"/>
      <c r="AA90" s="85"/>
      <c r="AB90" s="85"/>
      <c r="AC90" s="85"/>
      <c r="AD90" s="85"/>
      <c r="AE90" s="85"/>
      <c r="AF90" s="111"/>
      <c r="AG90" s="111"/>
      <c r="AH90" s="111"/>
      <c r="AI90" s="111"/>
      <c r="AJ90" s="111"/>
      <c r="AK90" s="111"/>
      <c r="AL90" s="111"/>
      <c r="AM90" s="111"/>
      <c r="AN90" s="111"/>
      <c r="AO90" s="111"/>
      <c r="AP90" s="111"/>
      <c r="AQ90" s="111"/>
      <c r="AR90" s="111"/>
      <c r="AS90" s="111"/>
      <c r="AT90" s="111"/>
      <c r="AU90" s="111"/>
      <c r="AV90" s="111"/>
      <c r="AW90" s="111"/>
      <c r="AX90" s="152">
        <f>AX20+AX39-AX42</f>
        <v>0</v>
      </c>
      <c r="AY90" s="152">
        <f>AY20+AY39-AY42</f>
        <v>0</v>
      </c>
      <c r="AZ90" s="152">
        <f>AZ20+AZ39-AZ42</f>
        <v>0</v>
      </c>
      <c r="BA90" s="152">
        <f>BA20+BA39-BA42</f>
        <v>1</v>
      </c>
      <c r="BB90" s="152">
        <f>BB20+BB39-BB42</f>
        <v>0.21666499972343445</v>
      </c>
      <c r="BC90" s="152">
        <f>BC20+BC39-BC42</f>
        <v>-7.5550999492406845E-2</v>
      </c>
      <c r="BD90" s="2"/>
      <c r="BE90" s="2"/>
    </row>
    <row r="91" spans="1:61">
      <c r="A91" s="2"/>
      <c r="B91" s="2" t="s">
        <v>888</v>
      </c>
      <c r="C91" s="2"/>
      <c r="D91" s="2"/>
      <c r="E91" s="85"/>
      <c r="F91" s="85"/>
      <c r="G91" s="85"/>
      <c r="H91" s="85"/>
      <c r="I91" s="85"/>
      <c r="J91" s="85"/>
      <c r="K91" s="85"/>
      <c r="L91" s="85"/>
      <c r="M91" s="85"/>
      <c r="N91" s="85"/>
      <c r="O91" s="85"/>
      <c r="P91" s="85"/>
      <c r="Q91" s="85"/>
      <c r="R91" s="85"/>
      <c r="S91" s="85"/>
      <c r="T91" s="85"/>
      <c r="U91" s="85"/>
      <c r="V91" s="85"/>
      <c r="W91" s="85"/>
      <c r="X91" s="85"/>
      <c r="Y91" s="85"/>
      <c r="Z91" s="85"/>
      <c r="AA91" s="85"/>
      <c r="AB91" s="85"/>
      <c r="AC91" s="85"/>
      <c r="AD91" s="85"/>
      <c r="AE91" s="85"/>
      <c r="AF91" s="111"/>
      <c r="AG91" s="111"/>
      <c r="AH91" s="111"/>
      <c r="AI91" s="111"/>
      <c r="AJ91" s="111"/>
      <c r="AK91" s="111"/>
      <c r="AL91" s="111"/>
      <c r="AM91" s="111"/>
      <c r="AN91" s="111"/>
      <c r="AO91" s="111"/>
      <c r="AP91" s="111"/>
      <c r="AQ91" s="111"/>
      <c r="AR91" s="111"/>
      <c r="AS91" s="111"/>
      <c r="AT91" s="111"/>
      <c r="AU91" s="111"/>
      <c r="AV91" s="111"/>
      <c r="AW91" s="111"/>
      <c r="AX91" s="152">
        <f>AX66+AX82-SUM(AX59:AX65)-SUM(AX70:AX79)</f>
        <v>0</v>
      </c>
      <c r="AY91" s="152">
        <f>AY66+AY82-SUM(AY59:AY65)-SUM(AY70:AY79)</f>
        <v>-0.34078737907111645</v>
      </c>
      <c r="AZ91" s="152">
        <f>AZ66+AZ82-SUM(AZ59:AZ65)-SUM(AZ70:AZ79)</f>
        <v>0</v>
      </c>
      <c r="BA91" s="152">
        <f>BA66+BA82-SUM(BA59:BA65)-SUM(BA70:BA79)</f>
        <v>0</v>
      </c>
      <c r="BB91" s="152">
        <f>BB66+BB82-SUM(BB59:BB65)-SUM(BB70:BB79)</f>
        <v>-0.1825179997831583</v>
      </c>
      <c r="BC91" s="152">
        <f>BC66+BC82-SUM(BC59:BC65)-SUM(BC70:BC79)</f>
        <v>0.20000000018626451</v>
      </c>
      <c r="BD91" s="2"/>
      <c r="BE91" s="2"/>
    </row>
    <row r="92" spans="1:61">
      <c r="A92" s="2"/>
      <c r="B92" s="2" t="s">
        <v>889</v>
      </c>
      <c r="C92" s="2"/>
      <c r="D92" s="2"/>
      <c r="E92" s="85"/>
      <c r="F92" s="85"/>
      <c r="G92" s="85"/>
      <c r="H92" s="85"/>
      <c r="I92" s="85"/>
      <c r="J92" s="85"/>
      <c r="K92" s="85"/>
      <c r="L92" s="85"/>
      <c r="M92" s="85"/>
      <c r="N92" s="85"/>
      <c r="O92" s="85"/>
      <c r="P92" s="85"/>
      <c r="Q92" s="85"/>
      <c r="R92" s="85"/>
      <c r="S92" s="85"/>
      <c r="T92" s="85"/>
      <c r="U92" s="85"/>
      <c r="V92" s="85"/>
      <c r="W92" s="85"/>
      <c r="X92" s="85"/>
      <c r="Y92" s="85"/>
      <c r="Z92" s="85"/>
      <c r="AA92" s="85"/>
      <c r="AB92" s="85"/>
      <c r="AC92" s="85"/>
      <c r="AD92" s="85"/>
      <c r="AE92" s="85"/>
      <c r="AF92" s="111"/>
      <c r="AG92" s="111"/>
      <c r="AH92" s="111"/>
      <c r="AI92" s="111"/>
      <c r="AJ92" s="111"/>
      <c r="AK92" s="111"/>
      <c r="AL92" s="111"/>
      <c r="AM92" s="111"/>
      <c r="AN92" s="111"/>
      <c r="AO92" s="111"/>
      <c r="AP92" s="111"/>
      <c r="AQ92" s="111"/>
      <c r="AR92" s="111"/>
      <c r="AS92" s="111"/>
      <c r="AT92" s="111"/>
      <c r="AU92" s="111"/>
      <c r="AV92" s="111"/>
      <c r="AW92" s="111"/>
      <c r="AX92" s="152">
        <f>AX55-SUM(AX53:AX54)</f>
        <v>0</v>
      </c>
      <c r="AY92" s="152">
        <f>AY55-SUM(AY53:AY54)</f>
        <v>0</v>
      </c>
      <c r="AZ92" s="152">
        <f>AZ55-SUM(AZ53:AZ54)</f>
        <v>0</v>
      </c>
      <c r="BA92" s="152">
        <f>BA55-SUM(BA53:BA54)</f>
        <v>0</v>
      </c>
      <c r="BB92" s="152">
        <f>BB55-SUM(BB53:BB54)</f>
        <v>0</v>
      </c>
      <c r="BC92" s="152">
        <f>BC55-SUM(BC53:BC54)</f>
        <v>0</v>
      </c>
      <c r="BD92" s="2"/>
      <c r="BE92" s="2"/>
    </row>
    <row r="93" spans="1:61">
      <c r="A93" s="2"/>
      <c r="B93" s="2"/>
      <c r="C93" s="2"/>
      <c r="D93" s="2"/>
      <c r="E93" s="85"/>
      <c r="F93" s="85"/>
      <c r="G93" s="85"/>
      <c r="H93" s="85"/>
      <c r="I93" s="85"/>
      <c r="J93" s="85"/>
      <c r="K93" s="85"/>
      <c r="L93" s="85"/>
      <c r="M93" s="85"/>
      <c r="N93" s="85"/>
      <c r="O93" s="85"/>
      <c r="P93" s="85"/>
      <c r="Q93" s="85"/>
      <c r="R93" s="85"/>
      <c r="S93" s="85"/>
      <c r="T93" s="85"/>
      <c r="U93" s="85"/>
      <c r="V93" s="85"/>
      <c r="W93" s="85"/>
      <c r="X93" s="85"/>
      <c r="Y93" s="85"/>
      <c r="Z93" s="85"/>
      <c r="AA93" s="85"/>
      <c r="AB93" s="85"/>
      <c r="AC93" s="85"/>
      <c r="AD93" s="85"/>
      <c r="AE93" s="85"/>
      <c r="AF93" s="111"/>
      <c r="AG93" s="111"/>
      <c r="AH93" s="111"/>
      <c r="AI93" s="111"/>
      <c r="AJ93" s="111"/>
      <c r="AK93" s="111"/>
      <c r="AL93" s="111"/>
      <c r="AM93" s="111"/>
      <c r="AN93" s="111"/>
      <c r="AO93" s="111"/>
      <c r="AP93" s="111"/>
      <c r="AQ93" s="111"/>
      <c r="AR93" s="111"/>
      <c r="AS93" s="111"/>
      <c r="AT93" s="111"/>
      <c r="AU93" s="111"/>
      <c r="AV93" s="111"/>
      <c r="AW93" s="111"/>
      <c r="AX93" s="111"/>
      <c r="AY93" s="111"/>
      <c r="AZ93" s="111"/>
      <c r="BA93" s="111"/>
      <c r="BB93" s="101"/>
      <c r="BC93" s="101"/>
      <c r="BD93" s="2"/>
      <c r="BE93" s="2"/>
    </row>
    <row r="94" spans="1:61">
      <c r="A94" s="510"/>
      <c r="B94" s="513"/>
      <c r="C94" s="513"/>
      <c r="D94" s="513"/>
      <c r="E94" s="511"/>
      <c r="F94" s="514"/>
      <c r="G94" s="511"/>
      <c r="H94" s="514"/>
      <c r="I94" s="511"/>
      <c r="J94" s="514"/>
      <c r="K94" s="511"/>
      <c r="L94" s="514"/>
      <c r="M94" s="511"/>
      <c r="N94" s="514"/>
      <c r="O94" s="511"/>
      <c r="P94" s="514"/>
      <c r="Q94" s="511"/>
      <c r="R94" s="514"/>
      <c r="S94" s="511"/>
      <c r="T94" s="514"/>
      <c r="U94" s="511"/>
      <c r="V94" s="514"/>
      <c r="W94" s="511"/>
      <c r="X94" s="514"/>
      <c r="Y94" s="514"/>
      <c r="Z94" s="514"/>
      <c r="AA94" s="514"/>
      <c r="AB94" s="514"/>
      <c r="AC94" s="514"/>
      <c r="AD94" s="514"/>
      <c r="AE94" s="514"/>
      <c r="AF94" s="515"/>
      <c r="AG94" s="515"/>
      <c r="AH94" s="515"/>
      <c r="AI94" s="515"/>
      <c r="AJ94" s="515"/>
      <c r="AK94" s="515"/>
      <c r="AL94" s="515"/>
      <c r="AM94" s="515"/>
      <c r="AN94" s="515"/>
      <c r="AO94" s="515"/>
      <c r="AP94" s="515"/>
      <c r="AQ94" s="515"/>
      <c r="AR94" s="515"/>
      <c r="AS94" s="515"/>
      <c r="AT94" s="515"/>
      <c r="AU94" s="515"/>
      <c r="AV94" s="515"/>
      <c r="AW94" s="515"/>
      <c r="AX94" s="515"/>
      <c r="AY94" s="515"/>
      <c r="AZ94" s="515"/>
      <c r="BA94" s="515"/>
      <c r="BB94" s="515"/>
      <c r="BC94" s="515"/>
      <c r="BD94" s="513"/>
      <c r="BE94" s="513"/>
      <c r="BF94" s="27"/>
      <c r="BG94" s="31"/>
      <c r="BH94" s="27"/>
      <c r="BI94" s="31"/>
    </row>
    <row r="95" spans="1:61">
      <c r="A95" s="176"/>
      <c r="B95" s="222"/>
      <c r="C95" s="222"/>
      <c r="D95" s="222"/>
      <c r="E95" s="281"/>
      <c r="F95" s="282"/>
      <c r="G95" s="281"/>
      <c r="H95" s="282"/>
      <c r="I95" s="281"/>
      <c r="J95" s="282"/>
      <c r="K95" s="281"/>
      <c r="L95" s="282"/>
      <c r="M95" s="281"/>
      <c r="N95" s="282"/>
      <c r="O95" s="281"/>
      <c r="P95" s="282"/>
      <c r="Q95" s="281"/>
      <c r="R95" s="282"/>
      <c r="S95" s="281"/>
      <c r="T95" s="282"/>
      <c r="U95" s="281"/>
      <c r="V95" s="282"/>
      <c r="W95" s="281"/>
      <c r="X95" s="282"/>
      <c r="Y95" s="282"/>
      <c r="Z95" s="282"/>
      <c r="AA95" s="282"/>
      <c r="AB95" s="282"/>
      <c r="AC95" s="282"/>
      <c r="AD95" s="282"/>
      <c r="AE95" s="282"/>
      <c r="AF95" s="111"/>
      <c r="AG95" s="111"/>
      <c r="AH95" s="111"/>
      <c r="AI95" s="111"/>
      <c r="AJ95" s="111"/>
      <c r="AK95" s="111"/>
      <c r="AL95" s="111"/>
      <c r="AM95" s="111"/>
      <c r="AN95" s="111"/>
      <c r="AO95" s="111"/>
      <c r="AP95" s="111"/>
      <c r="AQ95" s="111"/>
      <c r="AR95" s="111"/>
      <c r="AS95" s="111"/>
      <c r="AT95" s="111"/>
      <c r="AU95" s="111"/>
      <c r="AV95" s="111"/>
      <c r="AW95" s="111"/>
      <c r="AX95" s="111"/>
      <c r="AY95" s="111"/>
      <c r="AZ95" s="111"/>
      <c r="BA95" s="111"/>
      <c r="BB95" s="111"/>
      <c r="BC95" s="111"/>
      <c r="BD95" s="222"/>
      <c r="BE95" s="222"/>
      <c r="BF95" s="27"/>
      <c r="BG95" s="31"/>
      <c r="BH95" s="27"/>
      <c r="BI95" s="31"/>
    </row>
    <row r="96" spans="1:61">
      <c r="A96" s="2"/>
      <c r="B96" s="2"/>
      <c r="C96" s="2"/>
      <c r="D96" s="2"/>
      <c r="E96" s="85"/>
      <c r="F96" s="85"/>
      <c r="G96" s="85"/>
      <c r="H96" s="85"/>
      <c r="I96" s="85"/>
      <c r="J96" s="85"/>
      <c r="K96" s="85"/>
      <c r="L96" s="85"/>
      <c r="M96" s="85"/>
      <c r="N96" s="85"/>
      <c r="O96" s="85"/>
      <c r="P96" s="85"/>
      <c r="Q96" s="85"/>
      <c r="R96" s="85"/>
      <c r="S96" s="85"/>
      <c r="T96" s="85"/>
      <c r="U96" s="85"/>
      <c r="V96" s="85"/>
      <c r="W96" s="85"/>
      <c r="X96" s="85"/>
      <c r="Y96" s="85"/>
      <c r="Z96" s="85"/>
      <c r="AA96" s="85"/>
      <c r="AB96" s="85"/>
      <c r="AC96" s="85"/>
      <c r="AD96" s="85"/>
      <c r="AE96" s="85"/>
      <c r="AF96" s="111"/>
      <c r="AG96" s="111"/>
      <c r="AH96" s="111"/>
      <c r="AI96" s="111"/>
      <c r="AJ96" s="111"/>
      <c r="AK96" s="111"/>
      <c r="AL96" s="111"/>
      <c r="AM96" s="111"/>
      <c r="AN96" s="111"/>
      <c r="AO96" s="111"/>
      <c r="AP96" s="111"/>
      <c r="AQ96" s="111"/>
      <c r="AR96" s="111"/>
      <c r="AS96" s="111"/>
      <c r="AT96" s="111"/>
      <c r="AU96" s="111"/>
      <c r="AV96" s="111"/>
      <c r="AW96" s="111"/>
      <c r="AX96" s="111"/>
      <c r="AY96" s="111"/>
      <c r="AZ96" s="111"/>
      <c r="BA96" s="101"/>
      <c r="BB96" s="111"/>
      <c r="BC96" s="111"/>
      <c r="BD96" s="2"/>
      <c r="BE96" s="2"/>
    </row>
    <row r="97" spans="1:57">
      <c r="A97" s="2"/>
      <c r="B97" s="2"/>
      <c r="C97" s="2"/>
      <c r="D97" s="2"/>
      <c r="E97" s="154"/>
      <c r="F97" s="154"/>
      <c r="G97" s="154"/>
      <c r="H97" s="154"/>
      <c r="I97" s="154"/>
      <c r="J97" s="154"/>
      <c r="K97" s="154"/>
      <c r="L97" s="154"/>
      <c r="M97" s="154"/>
      <c r="N97" s="154"/>
      <c r="O97" s="154"/>
      <c r="P97" s="154"/>
      <c r="Q97" s="154"/>
      <c r="R97" s="154"/>
      <c r="S97" s="154"/>
      <c r="T97" s="154"/>
      <c r="U97" s="154"/>
      <c r="V97" s="154"/>
      <c r="W97" s="154"/>
      <c r="X97" s="154"/>
      <c r="Y97" s="154"/>
      <c r="Z97" s="154"/>
      <c r="AA97" s="154"/>
      <c r="AB97" s="154"/>
      <c r="AC97" s="154"/>
      <c r="AD97" s="154"/>
      <c r="AE97" s="154"/>
      <c r="AF97" s="101"/>
      <c r="AG97" s="101"/>
      <c r="AH97" s="101"/>
      <c r="AI97" s="101"/>
      <c r="AJ97" s="101"/>
      <c r="AK97" s="101"/>
      <c r="AL97" s="101"/>
      <c r="AM97" s="101"/>
      <c r="AN97" s="101"/>
      <c r="AO97" s="101"/>
      <c r="AP97" s="101"/>
      <c r="AQ97" s="101"/>
      <c r="AR97" s="101"/>
      <c r="AS97" s="101"/>
      <c r="AT97" s="101"/>
      <c r="AU97" s="101"/>
      <c r="AV97" s="101"/>
      <c r="AW97" s="101"/>
      <c r="AX97" s="101"/>
      <c r="AY97" s="101"/>
      <c r="AZ97" s="101"/>
      <c r="BA97" s="101"/>
      <c r="BB97" s="101"/>
      <c r="BC97" s="101"/>
      <c r="BD97" s="83"/>
      <c r="BE97" s="2"/>
    </row>
    <row r="98" spans="1:57">
      <c r="A98" s="2"/>
      <c r="B98" s="2"/>
      <c r="C98" s="2"/>
      <c r="D98" s="2"/>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01"/>
      <c r="AG98" s="101"/>
      <c r="AH98" s="101"/>
      <c r="AI98" s="101"/>
      <c r="AJ98" s="101"/>
      <c r="AK98" s="101"/>
      <c r="AL98" s="101"/>
      <c r="AM98" s="101"/>
      <c r="AN98" s="101"/>
      <c r="AO98" s="101"/>
      <c r="AP98" s="101"/>
      <c r="AQ98" s="101"/>
      <c r="AR98" s="101"/>
      <c r="AS98" s="101"/>
      <c r="AT98" s="101"/>
      <c r="AU98" s="101"/>
      <c r="AV98" s="101"/>
      <c r="AW98" s="101"/>
      <c r="AX98" s="101"/>
      <c r="AY98" s="101"/>
      <c r="AZ98" s="101"/>
      <c r="BA98" s="101"/>
      <c r="BB98" s="101"/>
      <c r="BC98" s="101"/>
      <c r="BD98" s="83"/>
      <c r="BE98" s="2"/>
    </row>
    <row r="99" spans="1:57">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row>
    <row r="100" spans="1:57">
      <c r="AE100" s="6"/>
    </row>
    <row r="101" spans="1:57">
      <c r="AE101" s="6"/>
    </row>
    <row r="105" spans="1:57">
      <c r="B105" s="30"/>
      <c r="C105" s="30"/>
      <c r="D105" s="30"/>
    </row>
    <row r="106" spans="1:57">
      <c r="B106" s="20"/>
      <c r="C106" s="20"/>
      <c r="D106" s="20"/>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row>
    <row r="107" spans="1:57">
      <c r="B107" s="21"/>
      <c r="C107" s="21"/>
      <c r="D107" s="21"/>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row>
    <row r="108" spans="1:57">
      <c r="B108" s="21"/>
      <c r="C108" s="21"/>
      <c r="D108" s="21"/>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row>
    <row r="109" spans="1:57">
      <c r="B109" s="23"/>
      <c r="C109" s="23"/>
      <c r="D109" s="23"/>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row>
    <row r="110" spans="1:57">
      <c r="B110" s="25"/>
      <c r="C110" s="25"/>
      <c r="D110" s="25"/>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row>
    <row r="114" spans="1:56" s="31" customFormat="1">
      <c r="A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7"/>
    </row>
    <row r="115" spans="1:56" s="31" customFormat="1">
      <c r="A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7"/>
    </row>
    <row r="117" spans="1:56">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33"/>
      <c r="AE117" s="65"/>
      <c r="AF117" s="62"/>
      <c r="AG117" s="65"/>
      <c r="AH117" s="65"/>
      <c r="AI117" s="65"/>
      <c r="AJ117" s="65"/>
      <c r="AK117" s="65"/>
      <c r="AL117" s="65"/>
      <c r="AM117" s="65"/>
      <c r="AN117" s="65"/>
      <c r="AO117" s="65"/>
      <c r="AP117" s="65"/>
      <c r="AQ117" s="65"/>
      <c r="AR117" s="65"/>
      <c r="AS117" s="65"/>
      <c r="AT117" s="65"/>
      <c r="AU117" s="65"/>
      <c r="AV117" s="65"/>
      <c r="AW117" s="65"/>
      <c r="AX117" s="65"/>
      <c r="AY117" s="65"/>
      <c r="AZ117" s="65"/>
      <c r="BA117" s="65"/>
      <c r="BB117" s="65"/>
      <c r="BC117" s="65"/>
      <c r="BD117" s="28"/>
    </row>
    <row r="118" spans="1:56">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33"/>
      <c r="AE118" s="65"/>
      <c r="AF118" s="62"/>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28"/>
    </row>
    <row r="119" spans="1:56">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63"/>
      <c r="AF119" s="63"/>
      <c r="AG119" s="63"/>
      <c r="AH119" s="63"/>
      <c r="AI119" s="63"/>
      <c r="AJ119" s="63"/>
      <c r="AK119" s="63"/>
      <c r="AL119" s="63"/>
      <c r="AM119" s="63"/>
      <c r="AN119" s="63"/>
      <c r="AO119" s="63"/>
      <c r="AP119" s="63"/>
      <c r="AQ119" s="63"/>
      <c r="AR119" s="63"/>
      <c r="AS119" s="63"/>
      <c r="AT119" s="63"/>
      <c r="AU119" s="63"/>
      <c r="AV119" s="63"/>
      <c r="AW119" s="63"/>
      <c r="AX119" s="63"/>
      <c r="AY119" s="63"/>
      <c r="AZ119" s="63"/>
      <c r="BA119" s="63"/>
      <c r="BB119" s="63"/>
      <c r="BC119" s="63"/>
      <c r="BD119" s="29"/>
    </row>
    <row r="120" spans="1:56">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33"/>
      <c r="AE120" s="65"/>
      <c r="AF120" s="62"/>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28"/>
    </row>
    <row r="121" spans="1:56">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63"/>
      <c r="AF121" s="63"/>
      <c r="AG121" s="63"/>
      <c r="AH121" s="63"/>
      <c r="AI121" s="63"/>
      <c r="AJ121" s="63"/>
      <c r="AK121" s="63"/>
      <c r="AL121" s="63"/>
      <c r="AM121" s="63"/>
      <c r="AN121" s="63"/>
      <c r="AO121" s="63"/>
      <c r="AP121" s="63"/>
      <c r="AQ121" s="63"/>
      <c r="AR121" s="63"/>
      <c r="AS121" s="63"/>
      <c r="AT121" s="63"/>
      <c r="AU121" s="63"/>
      <c r="AV121" s="63"/>
      <c r="AW121" s="63"/>
      <c r="AX121" s="63"/>
      <c r="AY121" s="63"/>
      <c r="AZ121" s="63"/>
      <c r="BA121" s="63"/>
      <c r="BB121" s="63"/>
      <c r="BC121" s="63"/>
      <c r="BD121" s="29"/>
    </row>
  </sheetData>
  <phoneticPr fontId="76" type="noConversion"/>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I178"/>
  <sheetViews>
    <sheetView showGridLines="0" zoomScale="70" zoomScaleNormal="70" workbookViewId="0">
      <pane xSplit="2" ySplit="2" topLeftCell="AW65" activePane="bottomRight" state="frozen"/>
      <selection activeCell="BA80" sqref="BA80"/>
      <selection pane="topRight" activeCell="BA80" sqref="BA80"/>
      <selection pane="bottomLeft" activeCell="BA80" sqref="BA80"/>
      <selection pane="bottomRight" activeCell="BB106" sqref="BB106"/>
    </sheetView>
  </sheetViews>
  <sheetFormatPr defaultColWidth="9.234375" defaultRowHeight="15.35" outlineLevelRow="1"/>
  <cols>
    <col min="1" max="1" width="2.76171875" style="6" customWidth="1"/>
    <col min="2" max="2" width="78.76171875" style="6" bestFit="1" customWidth="1"/>
    <col min="3" max="4" width="78.76171875" style="6" customWidth="1"/>
    <col min="5" max="10" width="14.234375" style="6" bestFit="1" customWidth="1"/>
    <col min="11" max="11" width="13.76171875" style="6" bestFit="1" customWidth="1"/>
    <col min="12" max="12" width="14.234375" style="6" bestFit="1" customWidth="1"/>
    <col min="13" max="13" width="13.76171875" style="6" bestFit="1" customWidth="1"/>
    <col min="14" max="14" width="14.234375" style="6" bestFit="1" customWidth="1"/>
    <col min="15" max="15" width="13.76171875" style="6" bestFit="1" customWidth="1"/>
    <col min="16" max="16" width="14.234375" style="6" bestFit="1" customWidth="1"/>
    <col min="17" max="18" width="13.76171875" style="6" bestFit="1" customWidth="1"/>
    <col min="19" max="19" width="14.234375" style="6" bestFit="1" customWidth="1"/>
    <col min="20" max="20" width="13.76171875" style="6" bestFit="1" customWidth="1"/>
    <col min="21" max="23" width="14.234375" style="6" bestFit="1" customWidth="1"/>
    <col min="24" max="24" width="16.234375" style="6" bestFit="1" customWidth="1"/>
    <col min="25" max="28" width="14.234375" style="6" bestFit="1" customWidth="1"/>
    <col min="29" max="29" width="15.76171875" style="6" bestFit="1" customWidth="1"/>
    <col min="30" max="30" width="16.234375" style="6" bestFit="1" customWidth="1"/>
    <col min="31" max="31" width="15.76171875" style="21" bestFit="1" customWidth="1"/>
    <col min="32" max="33" width="16.234375" style="21" bestFit="1" customWidth="1"/>
    <col min="34" max="34" width="15.76171875" style="21" bestFit="1" customWidth="1"/>
    <col min="35" max="36" width="15.234375" style="21" bestFit="1" customWidth="1"/>
    <col min="37" max="38" width="15.76171875" style="21" bestFit="1" customWidth="1"/>
    <col min="39" max="41" width="16.234375" style="21" bestFit="1" customWidth="1"/>
    <col min="42" max="42" width="15.76171875" style="21" bestFit="1" customWidth="1"/>
    <col min="43" max="44" width="16.234375" style="21" bestFit="1" customWidth="1"/>
    <col min="45" max="55" width="16.234375" style="21" customWidth="1"/>
    <col min="56" max="56" width="5" style="6" customWidth="1"/>
    <col min="57" max="57" width="66.76171875" style="6" bestFit="1" customWidth="1"/>
    <col min="58" max="58" width="9.234375" style="6" customWidth="1"/>
    <col min="59" max="60" width="9.234375" style="6"/>
    <col min="61" max="61" width="10.234375" style="6" bestFit="1" customWidth="1"/>
    <col min="62" max="16384" width="9.234375" style="6"/>
  </cols>
  <sheetData>
    <row r="1" spans="1:58" s="30" customFormat="1">
      <c r="A1" s="508" t="s">
        <v>208</v>
      </c>
      <c r="B1" s="508"/>
      <c r="C1" s="508"/>
      <c r="D1" s="508"/>
      <c r="E1" s="516" t="str">
        <f>'Reported Group Profit and Loss'!E1</f>
        <v>4Q12</v>
      </c>
      <c r="F1" s="516" t="str">
        <f>'Reported Group Profit and Loss'!F1</f>
        <v>1Q13</v>
      </c>
      <c r="G1" s="516" t="str">
        <f>'Reported Group Profit and Loss'!G1</f>
        <v>2Q13</v>
      </c>
      <c r="H1" s="516" t="str">
        <f>'Reported Group Profit and Loss'!H1</f>
        <v>3Q13</v>
      </c>
      <c r="I1" s="516" t="str">
        <f>'Reported Group Profit and Loss'!I1</f>
        <v>4Q13</v>
      </c>
      <c r="J1" s="516" t="str">
        <f>'Reported Group Profit and Loss'!J1</f>
        <v>1Q14</v>
      </c>
      <c r="K1" s="516" t="str">
        <f>'Reported Group Profit and Loss'!K1</f>
        <v>2Q14</v>
      </c>
      <c r="L1" s="516" t="str">
        <f>'Reported Group Profit and Loss'!L1</f>
        <v>3Q14</v>
      </c>
      <c r="M1" s="516" t="str">
        <f>'Reported Group Profit and Loss'!M1</f>
        <v>4Q14</v>
      </c>
      <c r="N1" s="516" t="str">
        <f>'Reported Group Profit and Loss'!N1</f>
        <v>1Q15</v>
      </c>
      <c r="O1" s="516" t="str">
        <f>'Reported Group Profit and Loss'!O1</f>
        <v>2Q15</v>
      </c>
      <c r="P1" s="516" t="str">
        <f>'Reported Group Profit and Loss'!P1</f>
        <v>3Q15</v>
      </c>
      <c r="Q1" s="516" t="str">
        <f>'Reported Group Profit and Loss'!Q1</f>
        <v>4Q15</v>
      </c>
      <c r="R1" s="516" t="str">
        <f>'Reported Group Profit and Loss'!R1</f>
        <v>1Q16</v>
      </c>
      <c r="S1" s="516" t="str">
        <f>'Reported Group Profit and Loss'!S1</f>
        <v>2Q16</v>
      </c>
      <c r="T1" s="516" t="str">
        <f>'Reported Group Profit and Loss'!T1</f>
        <v>3Q16</v>
      </c>
      <c r="U1" s="516" t="str">
        <f>'Reported Group Profit and Loss'!U1</f>
        <v>4Q16</v>
      </c>
      <c r="V1" s="516" t="str">
        <f>'Reported Group Profit and Loss'!V1</f>
        <v>1Q17</v>
      </c>
      <c r="W1" s="516" t="str">
        <f>'Reported Group Profit and Loss'!W1</f>
        <v>2Q17</v>
      </c>
      <c r="X1" s="516" t="str">
        <f>'Reported Group Profit and Loss'!X1</f>
        <v>3Q17</v>
      </c>
      <c r="Y1" s="516" t="str">
        <f>'Reported Group Profit and Loss'!Y1</f>
        <v>4Q17</v>
      </c>
      <c r="Z1" s="516" t="str">
        <f>'Reported Group Profit and Loss'!Z1</f>
        <v>1Q18</v>
      </c>
      <c r="AA1" s="516" t="str">
        <f>'Reported Group Profit and Loss'!AA1</f>
        <v>2Q18</v>
      </c>
      <c r="AB1" s="516" t="str">
        <f>'Reported Group Profit and Loss'!AB1</f>
        <v>3Q18</v>
      </c>
      <c r="AC1" s="516" t="str">
        <f>'Reported Group Profit and Loss'!AC1</f>
        <v>4Q18</v>
      </c>
      <c r="AD1" s="516" t="str">
        <f>'Reported Group Profit and Loss'!AD1</f>
        <v>1Q19</v>
      </c>
      <c r="AE1" s="516" t="str">
        <f>'Reported Group Profit and Loss'!AE1</f>
        <v>2Q19</v>
      </c>
      <c r="AF1" s="516" t="str">
        <f>'Reported Group Profit and Loss'!AF1</f>
        <v>3Q19</v>
      </c>
      <c r="AG1" s="516" t="str">
        <f>'Reported Group Profit and Loss'!AG1</f>
        <v>4Q19</v>
      </c>
      <c r="AH1" s="516" t="str">
        <f>'Reported Group Profit and Loss'!AH1</f>
        <v>1Q20</v>
      </c>
      <c r="AI1" s="516" t="str">
        <f>'Reported Group Profit and Loss'!AI1</f>
        <v>2Q20</v>
      </c>
      <c r="AJ1" s="516" t="str">
        <f>'Reported Group Profit and Loss'!AJ1</f>
        <v>3Q20</v>
      </c>
      <c r="AK1" s="516" t="str">
        <f>'Reported Group Profit and Loss'!AK1</f>
        <v>4Q20</v>
      </c>
      <c r="AL1" s="516" t="str">
        <f>'Reported Group Profit and Loss'!AL1</f>
        <v>1Q21</v>
      </c>
      <c r="AM1" s="516" t="str">
        <f>'Reported Group Profit and Loss'!AM1</f>
        <v>2Q21</v>
      </c>
      <c r="AN1" s="516" t="str">
        <f>'Reported Group Profit and Loss'!AN1</f>
        <v>3Q21</v>
      </c>
      <c r="AO1" s="516" t="str">
        <f>'Reported Group Profit and Loss'!AO1</f>
        <v>4Q21</v>
      </c>
      <c r="AP1" s="516" t="str">
        <f>'Reported Group Profit and Loss'!AP1</f>
        <v>1Q22</v>
      </c>
      <c r="AQ1" s="516" t="str">
        <f>'Reported Group Profit and Loss'!AQ1</f>
        <v>2Q22</v>
      </c>
      <c r="AR1" s="516" t="str">
        <f>'Reported Group Profit and Loss'!AR1</f>
        <v>3Q22</v>
      </c>
      <c r="AS1" s="516" t="str">
        <f>'Reported Group Profit and Loss'!AS1</f>
        <v>4Q22</v>
      </c>
      <c r="AT1" s="516" t="str">
        <f>'Reported Group Profit and Loss'!AT1</f>
        <v>1Q23</v>
      </c>
      <c r="AU1" s="516" t="str">
        <f>'Reported Group Profit and Loss'!AU1</f>
        <v>2Q23</v>
      </c>
      <c r="AV1" s="516" t="str">
        <f>'Reported Group Profit and Loss'!AV1</f>
        <v>3Q23</v>
      </c>
      <c r="AW1" s="516" t="str">
        <f>'Reported Group Profit and Loss'!AW1</f>
        <v>4Q23</v>
      </c>
      <c r="AX1" s="516" t="str">
        <f>'Reported Group Profit and Loss'!AX1</f>
        <v>1Q24</v>
      </c>
      <c r="AY1" s="516" t="str">
        <f>'Reported Group Profit and Loss'!AY1</f>
        <v>2Q24</v>
      </c>
      <c r="AZ1" s="516" t="str">
        <f>'Reported Group Profit and Loss'!AZ1</f>
        <v>3Q24</v>
      </c>
      <c r="BA1" s="516" t="str">
        <f>'Reported Group Profit and Loss'!BA1</f>
        <v>4Q24</v>
      </c>
      <c r="BB1" s="516" t="str">
        <f>'Reported Group Profit and Loss'!BB1</f>
        <v>1Q25</v>
      </c>
      <c r="BC1" s="516" t="str">
        <f>'Reported Group Profit and Loss'!BC1</f>
        <v>2Q25</v>
      </c>
      <c r="BD1" s="508"/>
      <c r="BE1" s="508" t="s">
        <v>209</v>
      </c>
    </row>
    <row r="2" spans="1:58" s="30" customFormat="1">
      <c r="A2" s="13"/>
      <c r="B2" s="13"/>
      <c r="C2" s="13"/>
      <c r="D2" s="13"/>
      <c r="E2" s="403">
        <f>'Reported Group Profit and Loss'!E3</f>
        <v>40999</v>
      </c>
      <c r="F2" s="403">
        <f>'Reported Group Profit and Loss'!F3</f>
        <v>41090</v>
      </c>
      <c r="G2" s="403">
        <f>'Reported Group Profit and Loss'!G3</f>
        <v>41182</v>
      </c>
      <c r="H2" s="403">
        <f>'Reported Group Profit and Loss'!H3</f>
        <v>41274</v>
      </c>
      <c r="I2" s="403">
        <f>'Reported Group Profit and Loss'!I3</f>
        <v>41364</v>
      </c>
      <c r="J2" s="403">
        <f>'Reported Group Profit and Loss'!J3</f>
        <v>41455</v>
      </c>
      <c r="K2" s="403">
        <f>'Reported Group Profit and Loss'!K3</f>
        <v>41547</v>
      </c>
      <c r="L2" s="403">
        <f>'Reported Group Profit and Loss'!L3</f>
        <v>41639</v>
      </c>
      <c r="M2" s="403">
        <f>'Reported Group Profit and Loss'!M3</f>
        <v>41729</v>
      </c>
      <c r="N2" s="403">
        <f>'Reported Group Profit and Loss'!N3</f>
        <v>41820</v>
      </c>
      <c r="O2" s="403">
        <f>'Reported Group Profit and Loss'!O3</f>
        <v>41912</v>
      </c>
      <c r="P2" s="403">
        <f>'Reported Group Profit and Loss'!P3</f>
        <v>42004</v>
      </c>
      <c r="Q2" s="403">
        <f>'Reported Group Profit and Loss'!Q3</f>
        <v>42094</v>
      </c>
      <c r="R2" s="403">
        <f>'Reported Group Profit and Loss'!R3</f>
        <v>42185</v>
      </c>
      <c r="S2" s="403">
        <f>'Reported Group Profit and Loss'!S3</f>
        <v>42277</v>
      </c>
      <c r="T2" s="403">
        <f>'Reported Group Profit and Loss'!T3</f>
        <v>42369</v>
      </c>
      <c r="U2" s="403">
        <f>'Reported Group Profit and Loss'!U3</f>
        <v>42460</v>
      </c>
      <c r="V2" s="403">
        <f>'Reported Group Profit and Loss'!V3</f>
        <v>42551</v>
      </c>
      <c r="W2" s="403">
        <f>'Reported Group Profit and Loss'!W3</f>
        <v>42643</v>
      </c>
      <c r="X2" s="403">
        <f>'Reported Group Profit and Loss'!X3</f>
        <v>42735</v>
      </c>
      <c r="Y2" s="403">
        <f>'Reported Group Profit and Loss'!Y3</f>
        <v>42825</v>
      </c>
      <c r="Z2" s="403">
        <f>'Reported Group Profit and Loss'!Z3</f>
        <v>42916</v>
      </c>
      <c r="AA2" s="403">
        <f>'Reported Group Profit and Loss'!AA3</f>
        <v>43008</v>
      </c>
      <c r="AB2" s="403">
        <f>'Reported Group Profit and Loss'!AB3</f>
        <v>43100</v>
      </c>
      <c r="AC2" s="403">
        <f>'Reported Group Profit and Loss'!AC3</f>
        <v>43190</v>
      </c>
      <c r="AD2" s="403">
        <f>'Reported Group Profit and Loss'!AD3</f>
        <v>43281</v>
      </c>
      <c r="AE2" s="403">
        <f>'Reported Group Profit and Loss'!AE3</f>
        <v>43373</v>
      </c>
      <c r="AF2" s="403">
        <f>'Reported Group Profit and Loss'!AF3</f>
        <v>43465</v>
      </c>
      <c r="AG2" s="403">
        <f>'Reported Group Profit and Loss'!AG3</f>
        <v>43555</v>
      </c>
      <c r="AH2" s="403">
        <f>'Reported Group Profit and Loss'!AH3</f>
        <v>43646</v>
      </c>
      <c r="AI2" s="403">
        <f>'Reported Group Profit and Loss'!AI3</f>
        <v>43738</v>
      </c>
      <c r="AJ2" s="403">
        <f>'Reported Group Profit and Loss'!AJ3</f>
        <v>43830</v>
      </c>
      <c r="AK2" s="403">
        <f>'Reported Group Profit and Loss'!AK3</f>
        <v>43921</v>
      </c>
      <c r="AL2" s="403">
        <f>'Reported Group Profit and Loss'!AL3</f>
        <v>44012</v>
      </c>
      <c r="AM2" s="403">
        <f>'Reported Group Profit and Loss'!AM3</f>
        <v>44104</v>
      </c>
      <c r="AN2" s="403">
        <f>'Reported Group Profit and Loss'!AN3</f>
        <v>44196</v>
      </c>
      <c r="AO2" s="403">
        <f>'Reported Group Profit and Loss'!AO3</f>
        <v>44286</v>
      </c>
      <c r="AP2" s="403">
        <f>'Reported Group Profit and Loss'!AP3</f>
        <v>44377</v>
      </c>
      <c r="AQ2" s="403">
        <f>'Reported Group Profit and Loss'!AQ3</f>
        <v>44469</v>
      </c>
      <c r="AR2" s="403">
        <f>'Reported Group Profit and Loss'!AR3</f>
        <v>44561</v>
      </c>
      <c r="AS2" s="403">
        <f>'Reported Group Profit and Loss'!AS3</f>
        <v>44651</v>
      </c>
      <c r="AT2" s="403">
        <f>'Reported Group Profit and Loss'!AT3</f>
        <v>44742</v>
      </c>
      <c r="AU2" s="403">
        <f>'Reported Group Profit and Loss'!AU3</f>
        <v>44834</v>
      </c>
      <c r="AV2" s="403">
        <f>'Reported Group Profit and Loss'!AV3</f>
        <v>44926</v>
      </c>
      <c r="AW2" s="403">
        <f>'Reported Group Profit and Loss'!AW3</f>
        <v>45016</v>
      </c>
      <c r="AX2" s="403">
        <f>'Reported Group Profit and Loss'!AX3</f>
        <v>45107</v>
      </c>
      <c r="AY2" s="403">
        <f>'Reported Group Profit and Loss'!AY3</f>
        <v>45199</v>
      </c>
      <c r="AZ2" s="403">
        <f>'Reported Group Profit and Loss'!AZ3</f>
        <v>45291</v>
      </c>
      <c r="BA2" s="403">
        <f>'Reported Group Profit and Loss'!BA3</f>
        <v>45382</v>
      </c>
      <c r="BB2" s="403">
        <f>'Reported Group Profit and Loss'!BB3</f>
        <v>45473</v>
      </c>
      <c r="BC2" s="403">
        <f>'Reported Group Profit and Loss'!BC3</f>
        <v>45565</v>
      </c>
      <c r="BD2" s="13"/>
      <c r="BE2" s="13"/>
    </row>
    <row r="3" spans="1:58">
      <c r="A3" s="2"/>
      <c r="B3" s="77" t="s">
        <v>210</v>
      </c>
      <c r="C3" s="77"/>
      <c r="D3" s="77"/>
      <c r="BD3" s="2"/>
      <c r="BE3" s="2"/>
    </row>
    <row r="4" spans="1:58">
      <c r="A4" s="2"/>
      <c r="B4" s="155"/>
      <c r="C4" s="155"/>
      <c r="D4" s="155"/>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4"/>
      <c r="AK4" s="404"/>
      <c r="AL4" s="404"/>
      <c r="AM4" s="404"/>
      <c r="AN4" s="404"/>
      <c r="AO4" s="404"/>
      <c r="AP4" s="404"/>
      <c r="AQ4" s="404"/>
      <c r="AR4" s="404"/>
      <c r="AS4" s="404"/>
      <c r="AT4" s="404"/>
      <c r="AU4" s="404"/>
      <c r="AV4" s="404"/>
      <c r="AW4" s="404"/>
      <c r="AX4" s="404"/>
      <c r="AY4" s="404"/>
      <c r="AZ4" s="404"/>
      <c r="BA4" s="404"/>
      <c r="BB4" s="404"/>
      <c r="BC4" s="404"/>
      <c r="BD4" s="2"/>
      <c r="BE4" s="2"/>
    </row>
    <row r="5" spans="1:58" s="30" customFormat="1">
      <c r="A5" s="13"/>
      <c r="B5" s="156" t="s">
        <v>231</v>
      </c>
      <c r="C5" s="156"/>
      <c r="D5" s="156"/>
      <c r="E5" s="405">
        <v>17056</v>
      </c>
      <c r="F5" s="405">
        <v>12629</v>
      </c>
      <c r="G5" s="405">
        <v>14729</v>
      </c>
      <c r="H5" s="405">
        <v>9515</v>
      </c>
      <c r="I5" s="405">
        <v>12947</v>
      </c>
      <c r="J5" s="405">
        <v>18377</v>
      </c>
      <c r="K5" s="405">
        <v>13649</v>
      </c>
      <c r="L5" s="405">
        <v>22802</v>
      </c>
      <c r="M5" s="405">
        <v>23815</v>
      </c>
      <c r="N5" s="405">
        <v>27028</v>
      </c>
      <c r="O5" s="405">
        <v>28218</v>
      </c>
      <c r="P5" s="405">
        <v>28198</v>
      </c>
      <c r="Q5" s="405">
        <v>23686</v>
      </c>
      <c r="R5" s="405">
        <v>39322</v>
      </c>
      <c r="S5" s="405">
        <v>29629</v>
      </c>
      <c r="T5" s="405">
        <v>26061</v>
      </c>
      <c r="U5" s="405">
        <v>26077</v>
      </c>
      <c r="V5" s="405">
        <v>24931</v>
      </c>
      <c r="W5" s="405">
        <v>27287</v>
      </c>
      <c r="X5" s="405">
        <v>18556</v>
      </c>
      <c r="Y5" s="405">
        <v>6459</v>
      </c>
      <c r="Z5" s="405">
        <v>14313</v>
      </c>
      <c r="AA5" s="405">
        <v>11202</v>
      </c>
      <c r="AB5" s="405">
        <v>5986</v>
      </c>
      <c r="AC5" s="405">
        <v>6459</v>
      </c>
      <c r="AD5" s="405">
        <v>-6471</v>
      </c>
      <c r="AE5" s="405">
        <v>-19984</v>
      </c>
      <c r="AF5" s="405">
        <v>2002</v>
      </c>
      <c r="AG5" s="405">
        <v>7135</v>
      </c>
      <c r="AH5" s="405">
        <v>-29992</v>
      </c>
      <c r="AI5" s="405">
        <v>-313340.17751536891</v>
      </c>
      <c r="AJ5" s="405">
        <v>-15027.419476741925</v>
      </c>
      <c r="AK5" s="405">
        <v>-70105.285933041247</v>
      </c>
      <c r="AL5" s="405">
        <v>-113737.07303599801</v>
      </c>
      <c r="AM5" s="405">
        <v>5177.9445622790518</v>
      </c>
      <c r="AN5" s="405">
        <v>57164.018938171786</v>
      </c>
      <c r="AO5" s="405">
        <v>20210.836260773227</v>
      </c>
      <c r="AP5" s="405">
        <v>17758.730835213028</v>
      </c>
      <c r="AQ5" s="405">
        <v>30288.836511710993</v>
      </c>
      <c r="AR5" s="405">
        <v>26414.59886162106</v>
      </c>
      <c r="AS5" s="405">
        <v>50367</v>
      </c>
      <c r="AT5" s="405">
        <v>35920.715533115035</v>
      </c>
      <c r="AU5" s="405">
        <v>42652.577918422721</v>
      </c>
      <c r="AV5" s="405">
        <v>36893.671361666238</v>
      </c>
      <c r="AW5" s="405">
        <v>50140</v>
      </c>
      <c r="AX5" s="405">
        <v>18529</v>
      </c>
      <c r="AY5" s="405">
        <v>39397</v>
      </c>
      <c r="AZ5" s="405">
        <v>41084</v>
      </c>
      <c r="BA5" s="405">
        <v>27780</v>
      </c>
      <c r="BB5" s="405">
        <v>60253</v>
      </c>
      <c r="BC5" s="405">
        <v>58974</v>
      </c>
      <c r="BD5" s="13"/>
      <c r="BE5" s="13"/>
    </row>
    <row r="6" spans="1:58">
      <c r="A6" s="2"/>
      <c r="B6" s="157"/>
      <c r="C6" s="157"/>
      <c r="D6" s="157"/>
      <c r="E6" s="406"/>
      <c r="F6" s="406"/>
      <c r="G6" s="406"/>
      <c r="H6" s="406"/>
      <c r="I6" s="406"/>
      <c r="J6" s="406"/>
      <c r="K6" s="406"/>
      <c r="L6" s="406"/>
      <c r="M6" s="406"/>
      <c r="N6" s="406"/>
      <c r="O6" s="406"/>
      <c r="P6" s="406"/>
      <c r="Q6" s="406"/>
      <c r="R6" s="406"/>
      <c r="S6" s="406"/>
      <c r="T6" s="406"/>
      <c r="U6" s="406"/>
      <c r="V6" s="406"/>
      <c r="W6" s="406"/>
      <c r="X6" s="406"/>
      <c r="Y6" s="406"/>
      <c r="Z6" s="406"/>
      <c r="AA6" s="406"/>
      <c r="AB6" s="406"/>
      <c r="AC6" s="406"/>
      <c r="AD6" s="406"/>
      <c r="AE6" s="406"/>
      <c r="AF6" s="406"/>
      <c r="AG6" s="406"/>
      <c r="AH6" s="406"/>
      <c r="AI6" s="406"/>
      <c r="AJ6" s="406"/>
      <c r="AK6" s="406"/>
      <c r="AL6" s="406"/>
      <c r="AM6" s="406"/>
      <c r="AN6" s="406"/>
      <c r="AO6" s="406"/>
      <c r="AP6" s="406"/>
      <c r="AQ6" s="406"/>
      <c r="AR6" s="406"/>
      <c r="AS6" s="406"/>
      <c r="AT6" s="406"/>
      <c r="AU6" s="406"/>
      <c r="AV6" s="406"/>
      <c r="AW6" s="406"/>
      <c r="AX6" s="406"/>
      <c r="AY6" s="406"/>
      <c r="AZ6" s="406"/>
      <c r="BA6" s="406"/>
      <c r="BB6" s="406"/>
      <c r="BC6" s="406"/>
      <c r="BD6" s="2"/>
      <c r="BE6" s="2"/>
    </row>
    <row r="7" spans="1:58" ht="18" customHeight="1">
      <c r="A7" s="2"/>
      <c r="B7" s="158" t="s">
        <v>282</v>
      </c>
      <c r="C7" s="158"/>
      <c r="D7" s="158"/>
      <c r="E7" s="406"/>
      <c r="F7" s="406"/>
      <c r="G7" s="406"/>
      <c r="H7" s="406"/>
      <c r="I7" s="406"/>
      <c r="J7" s="406"/>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c r="AO7" s="406"/>
      <c r="AP7" s="406"/>
      <c r="AQ7" s="406"/>
      <c r="AR7" s="406"/>
      <c r="AS7" s="406"/>
      <c r="AT7" s="406"/>
      <c r="AU7" s="406"/>
      <c r="AV7" s="406"/>
      <c r="AW7" s="406"/>
      <c r="AX7" s="406"/>
      <c r="AY7" s="406"/>
      <c r="AZ7" s="406"/>
      <c r="BA7" s="406"/>
      <c r="BB7" s="406"/>
      <c r="BC7" s="406"/>
      <c r="BD7" s="2"/>
      <c r="BE7" s="2"/>
    </row>
    <row r="8" spans="1:58" ht="18" customHeight="1">
      <c r="A8" s="2"/>
      <c r="B8" s="159" t="s">
        <v>283</v>
      </c>
      <c r="C8" s="159"/>
      <c r="D8" s="159"/>
      <c r="E8" s="406">
        <v>34683</v>
      </c>
      <c r="F8" s="406">
        <v>37571</v>
      </c>
      <c r="G8" s="406">
        <v>38560</v>
      </c>
      <c r="H8" s="406">
        <v>39005</v>
      </c>
      <c r="I8" s="406">
        <v>39828</v>
      </c>
      <c r="J8" s="406">
        <v>38470</v>
      </c>
      <c r="K8" s="406">
        <v>39394</v>
      </c>
      <c r="L8" s="406">
        <v>39188</v>
      </c>
      <c r="M8" s="406">
        <v>39444</v>
      </c>
      <c r="N8" s="406">
        <v>40365</v>
      </c>
      <c r="O8" s="406">
        <v>38530</v>
      </c>
      <c r="P8" s="406">
        <v>38015</v>
      </c>
      <c r="Q8" s="406">
        <v>38401</v>
      </c>
      <c r="R8" s="406">
        <v>40404</v>
      </c>
      <c r="S8" s="406">
        <v>42390</v>
      </c>
      <c r="T8" s="406">
        <v>43541</v>
      </c>
      <c r="U8" s="406">
        <v>48163</v>
      </c>
      <c r="V8" s="406">
        <v>50402</v>
      </c>
      <c r="W8" s="406">
        <v>49560</v>
      </c>
      <c r="X8" s="406">
        <v>48350</v>
      </c>
      <c r="Y8" s="406">
        <v>49418</v>
      </c>
      <c r="Z8" s="406">
        <v>48192</v>
      </c>
      <c r="AA8" s="406">
        <v>46873</v>
      </c>
      <c r="AB8" s="406">
        <v>48375</v>
      </c>
      <c r="AC8" s="406">
        <v>49418</v>
      </c>
      <c r="AD8" s="406">
        <v>51452</v>
      </c>
      <c r="AE8" s="406">
        <v>52366</v>
      </c>
      <c r="AF8" s="406">
        <v>54723</v>
      </c>
      <c r="AG8" s="406">
        <v>54934</v>
      </c>
      <c r="AH8" s="406">
        <v>67587</v>
      </c>
      <c r="AI8" s="406">
        <v>69350.650005228905</v>
      </c>
      <c r="AJ8" s="406">
        <v>69408.848073602101</v>
      </c>
      <c r="AK8" s="406">
        <v>70549.482660193695</v>
      </c>
      <c r="AL8" s="406">
        <v>72267.656751372371</v>
      </c>
      <c r="AM8" s="406">
        <v>74210.847260078197</v>
      </c>
      <c r="AN8" s="406">
        <v>75591.090416953506</v>
      </c>
      <c r="AO8" s="406">
        <v>75022.56312855189</v>
      </c>
      <c r="AP8" s="406">
        <v>77136.87947862882</v>
      </c>
      <c r="AQ8" s="406">
        <v>82472.610072376163</v>
      </c>
      <c r="AR8" s="406">
        <v>85471.919672343167</v>
      </c>
      <c r="AS8" s="406">
        <v>85825</v>
      </c>
      <c r="AT8" s="406">
        <v>87813.536227171615</v>
      </c>
      <c r="AU8" s="406">
        <v>89468.078534480403</v>
      </c>
      <c r="AV8" s="406">
        <v>92977.152189685046</v>
      </c>
      <c r="AW8" s="406">
        <v>94059.489604038696</v>
      </c>
      <c r="AX8" s="406">
        <v>96537.647228565809</v>
      </c>
      <c r="AY8" s="406">
        <v>97343.186546581521</v>
      </c>
      <c r="AZ8" s="406">
        <v>100743.60926324343</v>
      </c>
      <c r="BA8" s="406">
        <v>100751.25742798708</v>
      </c>
      <c r="BB8" s="406">
        <v>105401.33065482722</v>
      </c>
      <c r="BC8" s="406">
        <v>109999.94459459568</v>
      </c>
      <c r="BD8" s="2"/>
      <c r="BE8" s="2"/>
    </row>
    <row r="9" spans="1:58" ht="18" customHeight="1">
      <c r="A9" s="2"/>
      <c r="B9" s="159" t="s">
        <v>284</v>
      </c>
      <c r="C9" s="159"/>
      <c r="D9" s="159"/>
      <c r="E9" s="406">
        <v>12295</v>
      </c>
      <c r="F9" s="406">
        <v>10829</v>
      </c>
      <c r="G9" s="406">
        <v>13819</v>
      </c>
      <c r="H9" s="406">
        <v>14246</v>
      </c>
      <c r="I9" s="406">
        <v>10583</v>
      </c>
      <c r="J9" s="406">
        <v>15889</v>
      </c>
      <c r="K9" s="406">
        <v>16957.362046000002</v>
      </c>
      <c r="L9" s="406">
        <v>13160</v>
      </c>
      <c r="M9" s="406">
        <v>14054</v>
      </c>
      <c r="N9" s="406">
        <v>15727</v>
      </c>
      <c r="O9" s="406">
        <v>12383.282209000001</v>
      </c>
      <c r="P9" s="406">
        <v>18668.717790999999</v>
      </c>
      <c r="Q9" s="406">
        <v>26473</v>
      </c>
      <c r="R9" s="406">
        <v>24441</v>
      </c>
      <c r="S9" s="406">
        <v>29735</v>
      </c>
      <c r="T9" s="406">
        <v>19028</v>
      </c>
      <c r="U9" s="406">
        <v>27517</v>
      </c>
      <c r="V9" s="406">
        <v>25136</v>
      </c>
      <c r="W9" s="406">
        <v>24626</v>
      </c>
      <c r="X9" s="406">
        <v>33061</v>
      </c>
      <c r="Y9" s="406">
        <v>22717</v>
      </c>
      <c r="Z9" s="406">
        <v>22039</v>
      </c>
      <c r="AA9" s="406">
        <v>24916</v>
      </c>
      <c r="AB9" s="406">
        <v>24846</v>
      </c>
      <c r="AC9" s="406">
        <v>22717</v>
      </c>
      <c r="AD9" s="406">
        <v>25498</v>
      </c>
      <c r="AE9" s="406">
        <v>33034</v>
      </c>
      <c r="AF9" s="406">
        <v>28381</v>
      </c>
      <c r="AG9" s="406">
        <v>29156</v>
      </c>
      <c r="AH9" s="406">
        <v>33928</v>
      </c>
      <c r="AI9" s="406">
        <v>31645</v>
      </c>
      <c r="AJ9" s="406">
        <v>32824.565613683109</v>
      </c>
      <c r="AK9" s="406">
        <v>39043.43129552633</v>
      </c>
      <c r="AL9" s="406">
        <v>33757.689460594367</v>
      </c>
      <c r="AM9" s="406">
        <v>37109.732442343884</v>
      </c>
      <c r="AN9" s="406">
        <v>39346.156907002631</v>
      </c>
      <c r="AO9" s="406">
        <v>39090.48872156076</v>
      </c>
      <c r="AP9" s="406">
        <v>42046.813313314015</v>
      </c>
      <c r="AQ9" s="406">
        <v>39384.502669681729</v>
      </c>
      <c r="AR9" s="406">
        <v>43280.10867862279</v>
      </c>
      <c r="AS9" s="406">
        <v>40529</v>
      </c>
      <c r="AT9" s="406">
        <v>44703.426101734833</v>
      </c>
      <c r="AU9" s="406">
        <v>48887.301729006183</v>
      </c>
      <c r="AV9" s="406">
        <v>46695.863968558566</v>
      </c>
      <c r="AW9" s="406">
        <v>48147.188923805603</v>
      </c>
      <c r="AX9" s="406">
        <v>53571.536409928012</v>
      </c>
      <c r="AY9" s="406">
        <v>52985.245159241691</v>
      </c>
      <c r="AZ9" s="406">
        <v>63241.519759411967</v>
      </c>
      <c r="BA9" s="406">
        <v>49538.700857333708</v>
      </c>
      <c r="BB9" s="406">
        <v>50531.761435309891</v>
      </c>
      <c r="BC9" s="406">
        <v>53964.264498347286</v>
      </c>
      <c r="BD9" s="2"/>
      <c r="BE9" s="2"/>
      <c r="BF9" s="251"/>
    </row>
    <row r="10" spans="1:58" ht="18" customHeight="1">
      <c r="A10" s="2"/>
      <c r="B10" s="159" t="s">
        <v>285</v>
      </c>
      <c r="C10" s="159"/>
      <c r="D10" s="159"/>
      <c r="E10" s="406">
        <v>-1723</v>
      </c>
      <c r="F10" s="406">
        <v>-2618</v>
      </c>
      <c r="G10" s="406">
        <v>-3600</v>
      </c>
      <c r="H10" s="406">
        <v>-927</v>
      </c>
      <c r="I10" s="406">
        <v>1512</v>
      </c>
      <c r="J10" s="406">
        <v>-4213</v>
      </c>
      <c r="K10" s="406">
        <v>-846</v>
      </c>
      <c r="L10" s="406">
        <v>-2478.3620460000002</v>
      </c>
      <c r="M10" s="406">
        <v>-4142.839438</v>
      </c>
      <c r="N10" s="406">
        <v>-6161.8794980000002</v>
      </c>
      <c r="O10" s="406">
        <v>-3325.1205020000002</v>
      </c>
      <c r="P10" s="406">
        <v>-8219</v>
      </c>
      <c r="Q10" s="406">
        <v>-7082</v>
      </c>
      <c r="R10" s="406">
        <v>-5250.081314</v>
      </c>
      <c r="S10" s="406">
        <v>-11110</v>
      </c>
      <c r="T10" s="406">
        <v>-4861</v>
      </c>
      <c r="U10" s="406">
        <v>-10507</v>
      </c>
      <c r="V10" s="406">
        <v>-5737</v>
      </c>
      <c r="W10" s="406">
        <v>-5569</v>
      </c>
      <c r="X10" s="406">
        <v>-13705</v>
      </c>
      <c r="Y10" s="406">
        <v>-3555</v>
      </c>
      <c r="Z10" s="406">
        <v>-3765</v>
      </c>
      <c r="AA10" s="406">
        <v>-1650</v>
      </c>
      <c r="AB10" s="406">
        <v>-3964</v>
      </c>
      <c r="AC10" s="406">
        <v>-3555</v>
      </c>
      <c r="AD10" s="406">
        <v>-4232</v>
      </c>
      <c r="AE10" s="406">
        <v>-3177</v>
      </c>
      <c r="AF10" s="406">
        <v>-8933</v>
      </c>
      <c r="AG10" s="406">
        <v>-3833</v>
      </c>
      <c r="AH10" s="406">
        <v>-2067</v>
      </c>
      <c r="AI10" s="406">
        <v>-2778</v>
      </c>
      <c r="AJ10" s="406">
        <v>-2969.7589287259998</v>
      </c>
      <c r="AK10" s="406">
        <v>-8226.2410712740002</v>
      </c>
      <c r="AL10" s="406">
        <f>-2840-1758+715</f>
        <v>-3883</v>
      </c>
      <c r="AM10" s="406">
        <f>-1187-486+1439</f>
        <v>-234</v>
      </c>
      <c r="AN10" s="406">
        <v>-323.73853185500093</v>
      </c>
      <c r="AO10" s="406">
        <v>-337.84936638099907</v>
      </c>
      <c r="AP10" s="406">
        <v>-343.06078837500002</v>
      </c>
      <c r="AQ10" s="406">
        <v>-413.08697324600007</v>
      </c>
      <c r="AR10" s="406">
        <v>-424.32818536299999</v>
      </c>
      <c r="AS10" s="406">
        <v>-1026</v>
      </c>
      <c r="AT10" s="406">
        <v>-488.04433288100995</v>
      </c>
      <c r="AU10" s="406">
        <v>-587.67559437599016</v>
      </c>
      <c r="AV10" s="406">
        <v>-1150.4098428130005</v>
      </c>
      <c r="AW10" s="406">
        <v>-854</v>
      </c>
      <c r="AX10" s="406">
        <v>-1116</v>
      </c>
      <c r="AY10" s="406">
        <v>-1202.1817933110001</v>
      </c>
      <c r="AZ10" s="406">
        <v>-2805.2816772240103</v>
      </c>
      <c r="BA10" s="406">
        <v>-1369.6858610769914</v>
      </c>
      <c r="BB10" s="406">
        <v>-1346</v>
      </c>
      <c r="BC10" s="406">
        <v>-683.99271199999998</v>
      </c>
      <c r="BE10" s="2"/>
    </row>
    <row r="11" spans="1:58" ht="18" customHeight="1">
      <c r="A11" s="2"/>
      <c r="B11" s="159" t="s">
        <v>286</v>
      </c>
      <c r="C11" s="159"/>
      <c r="D11" s="159"/>
      <c r="E11" s="406">
        <v>18</v>
      </c>
      <c r="F11" s="406">
        <v>76</v>
      </c>
      <c r="G11" s="406">
        <v>0</v>
      </c>
      <c r="H11" s="406">
        <v>0</v>
      </c>
      <c r="I11" s="406">
        <v>0</v>
      </c>
      <c r="J11" s="406">
        <v>-822</v>
      </c>
      <c r="K11" s="406">
        <v>-1652</v>
      </c>
      <c r="L11" s="406">
        <v>-1064</v>
      </c>
      <c r="M11" s="406">
        <v>-1673</v>
      </c>
      <c r="N11" s="406">
        <v>-1578</v>
      </c>
      <c r="O11" s="406">
        <v>-1709</v>
      </c>
      <c r="P11" s="406">
        <v>-1800</v>
      </c>
      <c r="Q11" s="406">
        <v>-2136</v>
      </c>
      <c r="R11" s="406">
        <v>-2126</v>
      </c>
      <c r="S11" s="406">
        <v>-2404</v>
      </c>
      <c r="T11" s="406">
        <v>-2721</v>
      </c>
      <c r="U11" s="406">
        <v>-2915</v>
      </c>
      <c r="V11" s="406">
        <v>-2548</v>
      </c>
      <c r="W11" s="406">
        <v>-2697</v>
      </c>
      <c r="X11" s="406">
        <v>-2696</v>
      </c>
      <c r="Y11" s="406">
        <v>-2508</v>
      </c>
      <c r="Z11" s="406">
        <v>-2855</v>
      </c>
      <c r="AA11" s="406">
        <v>-3662</v>
      </c>
      <c r="AB11" s="406">
        <v>-2256</v>
      </c>
      <c r="AC11" s="406">
        <v>-2508</v>
      </c>
      <c r="AD11" s="406">
        <v>-1653</v>
      </c>
      <c r="AE11" s="406"/>
      <c r="AF11" s="406"/>
      <c r="AG11" s="406"/>
      <c r="AH11" s="406"/>
      <c r="AI11" s="406"/>
      <c r="AJ11" s="406"/>
      <c r="AK11" s="406"/>
      <c r="AL11" s="406"/>
      <c r="AM11" s="406"/>
      <c r="AN11" s="406"/>
      <c r="AO11" s="406"/>
      <c r="AP11" s="406">
        <v>-242.43072599999999</v>
      </c>
      <c r="AQ11" s="406">
        <v>-139.65321299999999</v>
      </c>
      <c r="AR11" s="406">
        <v>-520.92413878099978</v>
      </c>
      <c r="AS11" s="406">
        <v>-164</v>
      </c>
      <c r="AT11" s="406">
        <v>-196.156498</v>
      </c>
      <c r="AU11" s="406">
        <v>-425.59126099999997</v>
      </c>
      <c r="AV11" s="406">
        <v>-833.13678499999992</v>
      </c>
      <c r="AW11" s="406">
        <v>-1019</v>
      </c>
      <c r="AX11" s="406">
        <v>-1025</v>
      </c>
      <c r="AY11" s="406">
        <v>-600.50352265000015</v>
      </c>
      <c r="AZ11" s="406">
        <v>-554.79711712099993</v>
      </c>
      <c r="BA11" s="406">
        <v>-464.17881499999976</v>
      </c>
      <c r="BB11" s="406">
        <v>-415.45524</v>
      </c>
      <c r="BC11" s="406">
        <v>-364.04278099999999</v>
      </c>
      <c r="BD11" s="2"/>
      <c r="BE11" s="2"/>
    </row>
    <row r="12" spans="1:58" ht="18" customHeight="1">
      <c r="A12" s="2"/>
      <c r="B12" s="159" t="s">
        <v>287</v>
      </c>
      <c r="C12" s="159"/>
      <c r="D12" s="159"/>
      <c r="E12" s="406"/>
      <c r="F12" s="406"/>
      <c r="G12" s="406"/>
      <c r="H12" s="406"/>
      <c r="I12" s="406"/>
      <c r="J12" s="406">
        <v>-2252</v>
      </c>
      <c r="K12" s="406">
        <v>0</v>
      </c>
      <c r="L12" s="406">
        <v>-229</v>
      </c>
      <c r="M12" s="406">
        <v>0</v>
      </c>
      <c r="N12" s="406">
        <v>0</v>
      </c>
      <c r="O12" s="406">
        <v>0</v>
      </c>
      <c r="P12" s="406">
        <v>2082</v>
      </c>
      <c r="Q12" s="406">
        <v>-141</v>
      </c>
      <c r="R12" s="406">
        <v>-16911</v>
      </c>
      <c r="S12" s="406">
        <v>-9295</v>
      </c>
      <c r="T12" s="406">
        <v>1056.0472731897098</v>
      </c>
      <c r="U12" s="406">
        <v>1064.005964186741</v>
      </c>
      <c r="V12" s="406">
        <v>2465</v>
      </c>
      <c r="W12" s="406">
        <v>-313</v>
      </c>
      <c r="X12" s="406">
        <v>-2586</v>
      </c>
      <c r="Y12" s="406">
        <v>158</v>
      </c>
      <c r="Z12" s="406">
        <v>584</v>
      </c>
      <c r="AA12" s="406">
        <v>1413</v>
      </c>
      <c r="AB12" s="406">
        <v>128</v>
      </c>
      <c r="AC12" s="406">
        <v>158</v>
      </c>
      <c r="AD12" s="406">
        <v>2299</v>
      </c>
      <c r="AE12" s="406"/>
      <c r="AF12" s="406"/>
      <c r="AG12" s="406"/>
      <c r="AH12" s="406"/>
      <c r="AI12" s="406"/>
      <c r="AJ12" s="406"/>
      <c r="AK12" s="406"/>
      <c r="AL12" s="406"/>
      <c r="AM12" s="406">
        <v>-112</v>
      </c>
      <c r="AN12" s="406"/>
      <c r="AO12" s="406"/>
      <c r="AP12" s="406">
        <v>-853.11662692100003</v>
      </c>
      <c r="AQ12" s="406">
        <v>1357.550579452</v>
      </c>
      <c r="AR12" s="406">
        <v>865.89873828600025</v>
      </c>
      <c r="AS12" s="406">
        <v>-424</v>
      </c>
      <c r="AT12" s="406">
        <v>-583.77178700699994</v>
      </c>
      <c r="AU12" s="406">
        <v>149.90248693199993</v>
      </c>
      <c r="AV12" s="406">
        <v>447.92258002000011</v>
      </c>
      <c r="AW12" s="406">
        <v>2999</v>
      </c>
      <c r="AX12" s="406">
        <v>2741</v>
      </c>
      <c r="AY12" s="406">
        <v>-1354.6585847949982</v>
      </c>
      <c r="AZ12" s="406">
        <v>3323.2886407359988</v>
      </c>
      <c r="BA12" s="406">
        <v>1608.9296592309997</v>
      </c>
      <c r="BB12" s="406">
        <v>1023.382598</v>
      </c>
      <c r="BC12" s="406">
        <v>103.08901400000002</v>
      </c>
      <c r="BD12" s="2"/>
      <c r="BE12" s="2"/>
    </row>
    <row r="13" spans="1:58" ht="18" customHeight="1">
      <c r="A13" s="2"/>
      <c r="B13" s="159" t="s">
        <v>288</v>
      </c>
      <c r="C13" s="159"/>
      <c r="D13" s="159"/>
      <c r="E13" s="406">
        <v>197</v>
      </c>
      <c r="F13" s="406">
        <v>90</v>
      </c>
      <c r="G13" s="406">
        <v>24</v>
      </c>
      <c r="H13" s="406">
        <v>147</v>
      </c>
      <c r="I13" s="406">
        <v>142</v>
      </c>
      <c r="J13" s="406">
        <v>-31</v>
      </c>
      <c r="K13" s="406">
        <v>-85</v>
      </c>
      <c r="L13" s="406">
        <v>69</v>
      </c>
      <c r="M13" s="406">
        <v>55</v>
      </c>
      <c r="N13" s="406">
        <v>32</v>
      </c>
      <c r="O13" s="406">
        <v>-56</v>
      </c>
      <c r="P13" s="406">
        <v>28</v>
      </c>
      <c r="Q13" s="406">
        <v>-8</v>
      </c>
      <c r="R13" s="406">
        <v>21</v>
      </c>
      <c r="S13" s="406">
        <v>32</v>
      </c>
      <c r="T13" s="406">
        <v>98</v>
      </c>
      <c r="U13" s="406">
        <v>97</v>
      </c>
      <c r="V13" s="406">
        <v>97</v>
      </c>
      <c r="W13" s="406">
        <v>78</v>
      </c>
      <c r="X13" s="406">
        <v>75</v>
      </c>
      <c r="Y13" s="406">
        <v>88</v>
      </c>
      <c r="Z13" s="406">
        <v>84</v>
      </c>
      <c r="AA13" s="406">
        <v>65</v>
      </c>
      <c r="AB13" s="406">
        <v>135</v>
      </c>
      <c r="AC13" s="406">
        <v>88</v>
      </c>
      <c r="AD13" s="406">
        <v>61</v>
      </c>
      <c r="AE13" s="406"/>
      <c r="AF13" s="406"/>
      <c r="AG13" s="406"/>
      <c r="AH13" s="406"/>
      <c r="AI13" s="406"/>
      <c r="AJ13" s="406"/>
      <c r="AK13" s="406"/>
      <c r="AL13" s="406"/>
      <c r="AM13" s="406"/>
      <c r="AN13" s="406"/>
      <c r="AO13" s="406"/>
      <c r="AP13" s="406"/>
      <c r="AQ13" s="406"/>
      <c r="AR13" s="406"/>
      <c r="AS13" s="406"/>
      <c r="AT13" s="406"/>
      <c r="AU13" s="406"/>
      <c r="AY13" s="406"/>
      <c r="AZ13" s="406"/>
      <c r="BA13" s="406"/>
      <c r="BB13" s="406"/>
      <c r="BC13" s="406"/>
      <c r="BD13" s="2"/>
      <c r="BE13" s="2"/>
    </row>
    <row r="14" spans="1:58" ht="18" customHeight="1">
      <c r="A14" s="2"/>
      <c r="B14" s="160" t="s">
        <v>289</v>
      </c>
      <c r="C14" s="160"/>
      <c r="D14" s="160"/>
      <c r="E14" s="406">
        <v>240.45155317469039</v>
      </c>
      <c r="F14" s="406">
        <v>124.08217</v>
      </c>
      <c r="G14" s="406">
        <v>233.14684399999999</v>
      </c>
      <c r="H14" s="406">
        <v>67.28253100000002</v>
      </c>
      <c r="I14" s="406">
        <v>-32.720414999999988</v>
      </c>
      <c r="J14" s="406">
        <v>-279</v>
      </c>
      <c r="K14" s="406">
        <v>-45</v>
      </c>
      <c r="L14" s="406">
        <v>-219</v>
      </c>
      <c r="M14" s="406">
        <v>-246</v>
      </c>
      <c r="N14" s="406">
        <v>-70</v>
      </c>
      <c r="O14" s="406">
        <v>122</v>
      </c>
      <c r="P14" s="406">
        <v>-61</v>
      </c>
      <c r="Q14" s="406">
        <v>-36</v>
      </c>
      <c r="R14" s="406">
        <v>-124</v>
      </c>
      <c r="S14" s="406">
        <v>-69</v>
      </c>
      <c r="T14" s="406">
        <v>-84</v>
      </c>
      <c r="U14" s="406">
        <v>134</v>
      </c>
      <c r="V14" s="406">
        <v>115</v>
      </c>
      <c r="W14" s="406">
        <v>-30</v>
      </c>
      <c r="X14" s="406">
        <v>81</v>
      </c>
      <c r="Y14" s="406">
        <v>99</v>
      </c>
      <c r="Z14" s="406">
        <v>-91</v>
      </c>
      <c r="AA14" s="406">
        <v>-120</v>
      </c>
      <c r="AB14" s="406">
        <v>34</v>
      </c>
      <c r="AC14" s="406">
        <v>671</v>
      </c>
      <c r="AD14" s="406">
        <v>4287</v>
      </c>
      <c r="AE14" s="406">
        <v>3882</v>
      </c>
      <c r="AF14" s="406">
        <v>-15140</v>
      </c>
      <c r="AG14" s="406">
        <v>-18005</v>
      </c>
      <c r="AH14" s="406">
        <v>17863</v>
      </c>
      <c r="AI14" s="406">
        <v>303848.37211558979</v>
      </c>
      <c r="AJ14" s="406">
        <v>9177.8086607980895</v>
      </c>
      <c r="AK14" s="406">
        <v>69955.7862841428</v>
      </c>
      <c r="AL14" s="406">
        <v>118564.91583716084</v>
      </c>
      <c r="AM14" s="406">
        <v>2306.663707374074</v>
      </c>
      <c r="AN14" s="406">
        <v>46822.509744543109</v>
      </c>
      <c r="AO14" s="406">
        <v>-10394.378601203949</v>
      </c>
      <c r="AP14" s="406">
        <v>-2411.3390330433831</v>
      </c>
      <c r="AQ14" s="406">
        <v>-12789.488746245321</v>
      </c>
      <c r="AR14" s="406">
        <v>-6584.3973618841064</v>
      </c>
      <c r="AS14" s="406">
        <v>-10474</v>
      </c>
      <c r="AT14" s="406">
        <v>1049.1017417911344</v>
      </c>
      <c r="AU14" s="406">
        <v>-1383.2440009913964</v>
      </c>
      <c r="AV14" s="406">
        <v>12264.554612662096</v>
      </c>
      <c r="AW14" s="406">
        <v>-5467</v>
      </c>
      <c r="AX14" s="406">
        <v>31748</v>
      </c>
      <c r="AY14" s="406">
        <v>10653</v>
      </c>
      <c r="AZ14" s="406">
        <v>-4143.4706372463534</v>
      </c>
      <c r="BA14" s="406">
        <v>16708.70042234498</v>
      </c>
      <c r="BB14" s="406">
        <v>-12631.578333115776</v>
      </c>
      <c r="BC14" s="406">
        <v>-188.20429030045943</v>
      </c>
      <c r="BD14" s="2"/>
      <c r="BE14" s="2"/>
    </row>
    <row r="15" spans="1:58" ht="18" customHeight="1">
      <c r="A15" s="2"/>
      <c r="B15" s="157"/>
      <c r="C15" s="157"/>
      <c r="D15" s="157"/>
      <c r="E15" s="407"/>
      <c r="F15" s="407"/>
      <c r="G15" s="407"/>
      <c r="H15" s="407"/>
      <c r="I15" s="407"/>
      <c r="J15" s="407"/>
      <c r="K15" s="407"/>
      <c r="L15" s="407"/>
      <c r="M15" s="407"/>
      <c r="N15" s="407"/>
      <c r="O15" s="407"/>
      <c r="P15" s="407"/>
      <c r="Q15" s="407"/>
      <c r="R15" s="407"/>
      <c r="S15" s="407"/>
      <c r="T15" s="407"/>
      <c r="U15" s="407"/>
      <c r="V15" s="407"/>
      <c r="W15" s="407"/>
      <c r="X15" s="407"/>
      <c r="Y15" s="407"/>
      <c r="Z15" s="407"/>
      <c r="AA15" s="407"/>
      <c r="AB15" s="407"/>
      <c r="AC15" s="407"/>
      <c r="AD15" s="407"/>
      <c r="AE15" s="407"/>
      <c r="AF15" s="407"/>
      <c r="AG15" s="407"/>
      <c r="AH15" s="407"/>
      <c r="AI15" s="407"/>
      <c r="AJ15" s="407"/>
      <c r="AK15" s="407"/>
      <c r="AL15" s="407"/>
      <c r="AM15" s="407"/>
      <c r="AN15" s="407"/>
      <c r="AO15" s="407"/>
      <c r="AP15" s="407"/>
      <c r="AQ15" s="407"/>
      <c r="AR15" s="407"/>
      <c r="AS15" s="407"/>
      <c r="AT15" s="407"/>
      <c r="AU15" s="407"/>
      <c r="AV15" s="407"/>
      <c r="AW15" s="407"/>
      <c r="AX15" s="407"/>
      <c r="AY15" s="407">
        <v>0</v>
      </c>
      <c r="AZ15" s="407">
        <v>0</v>
      </c>
      <c r="BA15" s="407"/>
      <c r="BB15" s="407"/>
      <c r="BC15" s="407"/>
      <c r="BD15" s="2"/>
      <c r="BE15" s="2"/>
    </row>
    <row r="16" spans="1:58" s="30" customFormat="1" ht="18" customHeight="1">
      <c r="A16" s="13"/>
      <c r="B16" s="161" t="s">
        <v>290</v>
      </c>
      <c r="C16" s="161"/>
      <c r="D16" s="161"/>
      <c r="E16" s="405">
        <v>62766.451553174687</v>
      </c>
      <c r="F16" s="405">
        <v>58701.082170000001</v>
      </c>
      <c r="G16" s="405">
        <v>63765.146844000003</v>
      </c>
      <c r="H16" s="405">
        <v>62053.282530999997</v>
      </c>
      <c r="I16" s="405">
        <v>64979.279584999997</v>
      </c>
      <c r="J16" s="405">
        <v>65139</v>
      </c>
      <c r="K16" s="405">
        <v>67372.362045999995</v>
      </c>
      <c r="L16" s="405">
        <v>71228.637954000005</v>
      </c>
      <c r="M16" s="405">
        <v>71306.160562000005</v>
      </c>
      <c r="N16" s="405">
        <v>75342.120502000005</v>
      </c>
      <c r="O16" s="405">
        <v>74163.161707000007</v>
      </c>
      <c r="P16" s="405">
        <v>76911.717791000003</v>
      </c>
      <c r="Q16" s="405">
        <v>79157</v>
      </c>
      <c r="R16" s="405">
        <v>79776.918686000005</v>
      </c>
      <c r="S16" s="405">
        <v>78908</v>
      </c>
      <c r="T16" s="405">
        <v>82118</v>
      </c>
      <c r="U16" s="405">
        <v>89630</v>
      </c>
      <c r="V16" s="405">
        <v>94861</v>
      </c>
      <c r="W16" s="405">
        <v>92942</v>
      </c>
      <c r="X16" s="405">
        <v>81136</v>
      </c>
      <c r="Y16" s="405">
        <v>72876</v>
      </c>
      <c r="Z16" s="405">
        <v>78501</v>
      </c>
      <c r="AA16" s="405">
        <v>79037</v>
      </c>
      <c r="AB16" s="405">
        <v>73284</v>
      </c>
      <c r="AC16" s="405">
        <v>73448</v>
      </c>
      <c r="AD16" s="405">
        <v>71241</v>
      </c>
      <c r="AE16" s="405">
        <v>66121</v>
      </c>
      <c r="AF16" s="405">
        <v>61033</v>
      </c>
      <c r="AG16" s="405">
        <v>69387</v>
      </c>
      <c r="AH16" s="405">
        <v>87273</v>
      </c>
      <c r="AI16" s="405">
        <v>88535</v>
      </c>
      <c r="AJ16" s="405">
        <v>93414</v>
      </c>
      <c r="AK16" s="405">
        <v>101217</v>
      </c>
      <c r="AL16" s="405">
        <v>106790</v>
      </c>
      <c r="AM16" s="405">
        <v>118459</v>
      </c>
      <c r="AN16" s="405">
        <v>124789</v>
      </c>
      <c r="AO16" s="405">
        <v>123908</v>
      </c>
      <c r="AP16" s="405">
        <v>133093</v>
      </c>
      <c r="AQ16" s="405">
        <v>140160</v>
      </c>
      <c r="AR16" s="405">
        <v>148505</v>
      </c>
      <c r="AS16" s="405">
        <v>164633</v>
      </c>
      <c r="AT16" s="405">
        <v>168219</v>
      </c>
      <c r="AU16" s="405">
        <v>178760</v>
      </c>
      <c r="AV16" s="405">
        <v>187296.5</v>
      </c>
      <c r="AW16" s="405">
        <v>188005</v>
      </c>
      <c r="AX16" s="405">
        <v>200987</v>
      </c>
      <c r="AY16" s="405">
        <v>197221</v>
      </c>
      <c r="AZ16" s="405">
        <v>200888.57716676244</v>
      </c>
      <c r="BA16" s="405">
        <v>194553.72369081981</v>
      </c>
      <c r="BB16" s="405">
        <v>202816.4</v>
      </c>
      <c r="BC16" s="405">
        <v>221805</v>
      </c>
      <c r="BD16" s="13"/>
      <c r="BE16" s="13"/>
    </row>
    <row r="17" spans="1:58" ht="18" customHeight="1">
      <c r="A17" s="2"/>
      <c r="B17" s="162" t="s">
        <v>291</v>
      </c>
      <c r="C17" s="162"/>
      <c r="D17" s="162"/>
      <c r="E17" s="406"/>
      <c r="F17" s="406"/>
      <c r="G17" s="406"/>
      <c r="H17" s="406"/>
      <c r="I17" s="406"/>
      <c r="J17" s="406"/>
      <c r="K17" s="406"/>
      <c r="L17" s="406"/>
      <c r="M17" s="406"/>
      <c r="N17" s="406"/>
      <c r="O17" s="406"/>
      <c r="P17" s="406"/>
      <c r="Q17" s="406"/>
      <c r="R17" s="406"/>
      <c r="S17" s="406"/>
      <c r="T17" s="406"/>
      <c r="U17" s="406"/>
      <c r="V17" s="406"/>
      <c r="W17" s="406"/>
      <c r="X17" s="406"/>
      <c r="Y17" s="406"/>
      <c r="Z17" s="406"/>
      <c r="AA17" s="406"/>
      <c r="AB17" s="406"/>
      <c r="AC17" s="406"/>
      <c r="AD17" s="406"/>
      <c r="AE17" s="406"/>
      <c r="AF17" s="406"/>
      <c r="AG17" s="406"/>
      <c r="AH17" s="406"/>
      <c r="AI17" s="406"/>
      <c r="AJ17" s="406"/>
      <c r="AK17" s="406"/>
      <c r="AL17" s="406"/>
      <c r="AM17" s="406"/>
      <c r="AN17" s="406"/>
      <c r="AO17" s="406"/>
      <c r="AP17" s="406"/>
      <c r="AQ17" s="406"/>
      <c r="AR17" s="406"/>
      <c r="AS17" s="406"/>
      <c r="AT17" s="406"/>
      <c r="AU17" s="406"/>
      <c r="AV17" s="406"/>
      <c r="AW17" s="406"/>
      <c r="AX17" s="406"/>
      <c r="AY17" s="406"/>
      <c r="AZ17" s="406"/>
      <c r="BA17" s="406"/>
      <c r="BB17" s="406"/>
      <c r="BC17" s="406"/>
      <c r="BD17" s="2"/>
      <c r="BE17" s="2"/>
    </row>
    <row r="18" spans="1:58" ht="18" customHeight="1">
      <c r="A18" s="2"/>
      <c r="B18" s="160" t="s">
        <v>292</v>
      </c>
      <c r="C18" s="160"/>
      <c r="D18" s="160"/>
      <c r="E18" s="406">
        <v>-504.29311392809905</v>
      </c>
      <c r="F18" s="406">
        <v>-9995.8682969631172</v>
      </c>
      <c r="G18" s="406">
        <v>-10065.065534140003</v>
      </c>
      <c r="H18" s="406">
        <v>10085.273953534761</v>
      </c>
      <c r="I18" s="406">
        <v>4257.9660645829863</v>
      </c>
      <c r="J18" s="406">
        <v>6225</v>
      </c>
      <c r="K18" s="406">
        <v>5217</v>
      </c>
      <c r="L18" s="406">
        <v>-7132</v>
      </c>
      <c r="M18" s="406">
        <v>-2238</v>
      </c>
      <c r="N18" s="406">
        <v>-12158</v>
      </c>
      <c r="O18" s="406">
        <v>-5800</v>
      </c>
      <c r="P18" s="406">
        <v>-5461</v>
      </c>
      <c r="Q18" s="406">
        <v>12275</v>
      </c>
      <c r="R18" s="406">
        <v>-9314</v>
      </c>
      <c r="S18" s="406">
        <v>1387</v>
      </c>
      <c r="T18" s="406">
        <v>2001.0428645615157</v>
      </c>
      <c r="U18" s="406">
        <v>5772.763850373567</v>
      </c>
      <c r="V18" s="406">
        <v>1119.419310922568</v>
      </c>
      <c r="W18" s="406">
        <v>-916</v>
      </c>
      <c r="X18" s="406">
        <v>3978</v>
      </c>
      <c r="Y18" s="406">
        <v>7777.1672163119993</v>
      </c>
      <c r="Z18" s="406">
        <v>292</v>
      </c>
      <c r="AA18" s="406">
        <v>-343</v>
      </c>
      <c r="AB18" s="406">
        <v>-10786</v>
      </c>
      <c r="AC18" s="406">
        <v>7205.1672163119993</v>
      </c>
      <c r="AD18" s="406">
        <v>4562</v>
      </c>
      <c r="AE18" s="406">
        <v>182</v>
      </c>
      <c r="AF18" s="406">
        <v>-1984</v>
      </c>
      <c r="AG18" s="406">
        <v>5667</v>
      </c>
      <c r="AH18" s="406">
        <v>-12105</v>
      </c>
      <c r="AI18" s="406">
        <v>-3801.0941254255886</v>
      </c>
      <c r="AJ18" s="406">
        <v>-907.0779757387354</v>
      </c>
      <c r="AK18" s="406">
        <v>7888.1849883791147</v>
      </c>
      <c r="AL18" s="406">
        <v>-14736.719269009844</v>
      </c>
      <c r="AM18" s="406">
        <v>7872.1679058459213</v>
      </c>
      <c r="AN18" s="406">
        <v>-7451.4904534702018</v>
      </c>
      <c r="AO18" s="406">
        <v>10361.823843772136</v>
      </c>
      <c r="AP18" s="406">
        <v>-13227.643491992352</v>
      </c>
      <c r="AQ18" s="406">
        <v>-2534.0897040849868</v>
      </c>
      <c r="AR18" s="406">
        <v>257.7167773549063</v>
      </c>
      <c r="AS18" s="406">
        <v>8373</v>
      </c>
      <c r="AT18" s="406">
        <v>-6296.2218718265813</v>
      </c>
      <c r="AU18" s="406">
        <v>-3681.600984575638</v>
      </c>
      <c r="AV18" s="406">
        <v>-1682.6503415947427</v>
      </c>
      <c r="AW18" s="406">
        <v>6078</v>
      </c>
      <c r="AX18" s="406">
        <v>-16159</v>
      </c>
      <c r="AY18" s="406">
        <v>-4238.7484498200138</v>
      </c>
      <c r="AZ18" s="406">
        <v>-1145.21601007348</v>
      </c>
      <c r="BA18" s="406">
        <v>6602.0809505318648</v>
      </c>
      <c r="BB18" s="406">
        <v>-6288.6622280564152</v>
      </c>
      <c r="BC18" s="406">
        <v>-7502.1519989541648</v>
      </c>
      <c r="BD18" s="2"/>
      <c r="BE18" s="2"/>
    </row>
    <row r="19" spans="1:58" ht="18" customHeight="1">
      <c r="A19" s="2"/>
      <c r="B19" s="159" t="s">
        <v>293</v>
      </c>
      <c r="C19" s="159"/>
      <c r="D19" s="159"/>
      <c r="E19" s="406">
        <v>-8608.7079118606853</v>
      </c>
      <c r="F19" s="406">
        <v>28670.344760962194</v>
      </c>
      <c r="G19" s="406">
        <v>3538.6664841132879</v>
      </c>
      <c r="H19" s="406">
        <v>-2279.5084910128244</v>
      </c>
      <c r="I19" s="406">
        <v>-6151.3115062745419</v>
      </c>
      <c r="J19" s="406">
        <v>33574</v>
      </c>
      <c r="K19" s="406">
        <v>-4334</v>
      </c>
      <c r="L19" s="406">
        <v>522</v>
      </c>
      <c r="M19" s="406">
        <v>-12944</v>
      </c>
      <c r="N19" s="406">
        <v>24367</v>
      </c>
      <c r="O19" s="406">
        <v>11350</v>
      </c>
      <c r="P19" s="406">
        <v>7968</v>
      </c>
      <c r="Q19" s="406">
        <v>-29482</v>
      </c>
      <c r="R19" s="406">
        <v>27356</v>
      </c>
      <c r="S19" s="406">
        <v>-5657</v>
      </c>
      <c r="T19" s="406">
        <v>1412.6464799999994</v>
      </c>
      <c r="U19" s="406">
        <v>-16790.243089</v>
      </c>
      <c r="V19" s="406">
        <v>10079.51651364711</v>
      </c>
      <c r="W19" s="406">
        <v>5562</v>
      </c>
      <c r="X19" s="406">
        <v>3411</v>
      </c>
      <c r="Y19" s="406">
        <v>-10532.192521657962</v>
      </c>
      <c r="Z19" s="406">
        <v>31941</v>
      </c>
      <c r="AA19" s="406">
        <v>2851</v>
      </c>
      <c r="AB19" s="406">
        <v>9349</v>
      </c>
      <c r="AC19" s="406">
        <v>-12525.192521657962</v>
      </c>
      <c r="AD19" s="406">
        <v>7985</v>
      </c>
      <c r="AE19" s="406">
        <v>2363</v>
      </c>
      <c r="AF19" s="406">
        <v>11057</v>
      </c>
      <c r="AG19" s="406">
        <v>4657</v>
      </c>
      <c r="AH19" s="406">
        <v>6325</v>
      </c>
      <c r="AI19" s="406">
        <v>-16497.446699016517</v>
      </c>
      <c r="AJ19" s="406">
        <v>23324.756306525076</v>
      </c>
      <c r="AK19" s="406">
        <v>-15629.235266689495</v>
      </c>
      <c r="AL19" s="406">
        <v>11084.975255434938</v>
      </c>
      <c r="AM19" s="406">
        <v>3539.0277222428977</v>
      </c>
      <c r="AN19" s="406">
        <v>8057.7962880107025</v>
      </c>
      <c r="AO19" s="406">
        <v>-15779.757160768964</v>
      </c>
      <c r="AP19" s="406">
        <v>25267.039766016103</v>
      </c>
      <c r="AQ19" s="406">
        <v>-13296.817456584566</v>
      </c>
      <c r="AR19" s="406">
        <v>5265.4803964175189</v>
      </c>
      <c r="AS19" s="406">
        <v>-22112</v>
      </c>
      <c r="AT19" s="406">
        <v>20855.620729745471</v>
      </c>
      <c r="AU19" s="406">
        <v>8683.5833212726102</v>
      </c>
      <c r="AV19" s="406">
        <v>3425.0820475880682</v>
      </c>
      <c r="AW19" s="406">
        <v>-20294</v>
      </c>
      <c r="AX19" s="406">
        <v>32387</v>
      </c>
      <c r="AY19" s="406">
        <v>-5612.0542459617827</v>
      </c>
      <c r="AZ19" s="406">
        <v>-3031.8256462621066</v>
      </c>
      <c r="BA19" s="406">
        <v>-17344.408390675369</v>
      </c>
      <c r="BB19" s="406">
        <v>28075.986450406919</v>
      </c>
      <c r="BC19" s="406">
        <v>7930.4659002111948</v>
      </c>
      <c r="BD19" s="2"/>
      <c r="BE19" s="2"/>
    </row>
    <row r="20" spans="1:58" ht="18" customHeight="1">
      <c r="A20" s="2"/>
      <c r="B20" s="159" t="s">
        <v>294</v>
      </c>
      <c r="C20" s="159"/>
      <c r="D20" s="159"/>
      <c r="E20" s="406">
        <v>1269.4459281682607</v>
      </c>
      <c r="F20" s="406">
        <v>33.831223113678647</v>
      </c>
      <c r="G20" s="406">
        <v>-52.688144018031039</v>
      </c>
      <c r="H20" s="406">
        <v>116.4539262968656</v>
      </c>
      <c r="I20" s="406">
        <v>170.15482916485325</v>
      </c>
      <c r="J20" s="406">
        <v>-269</v>
      </c>
      <c r="K20" s="406">
        <v>-63</v>
      </c>
      <c r="L20" s="406">
        <v>191</v>
      </c>
      <c r="M20" s="406">
        <v>-6</v>
      </c>
      <c r="N20" s="406">
        <v>-378</v>
      </c>
      <c r="O20" s="406">
        <v>472</v>
      </c>
      <c r="P20" s="406">
        <v>37</v>
      </c>
      <c r="Q20" s="406">
        <v>-133</v>
      </c>
      <c r="R20" s="406">
        <v>-433</v>
      </c>
      <c r="S20" s="406">
        <v>-361</v>
      </c>
      <c r="T20" s="406">
        <v>-206</v>
      </c>
      <c r="U20" s="406">
        <v>128</v>
      </c>
      <c r="V20" s="406">
        <v>15</v>
      </c>
      <c r="W20" s="406">
        <v>-32</v>
      </c>
      <c r="X20" s="406">
        <v>191</v>
      </c>
      <c r="Y20" s="406">
        <v>774</v>
      </c>
      <c r="Z20" s="406">
        <v>-310</v>
      </c>
      <c r="AA20" s="406">
        <v>266</v>
      </c>
      <c r="AB20" s="406">
        <v>-113</v>
      </c>
      <c r="AC20" s="406">
        <v>774</v>
      </c>
      <c r="AD20" s="406">
        <v>-113</v>
      </c>
      <c r="AE20" s="406"/>
      <c r="AF20" s="406"/>
      <c r="AG20" s="406"/>
      <c r="AH20" s="406"/>
      <c r="AI20" s="406"/>
      <c r="AJ20" s="406"/>
      <c r="AK20" s="406"/>
      <c r="AL20" s="406"/>
      <c r="AM20" s="406"/>
      <c r="AN20" s="406"/>
      <c r="AO20" s="406"/>
      <c r="AP20" s="406"/>
      <c r="AQ20" s="406"/>
      <c r="AR20" s="406"/>
      <c r="AS20" s="406"/>
      <c r="AT20" s="406"/>
      <c r="AU20" s="406"/>
      <c r="AV20" s="406"/>
      <c r="AW20" s="406"/>
      <c r="AX20" s="406"/>
      <c r="AY20" s="406"/>
      <c r="AZ20" s="406"/>
      <c r="BA20" s="406"/>
      <c r="BB20" s="406"/>
      <c r="BC20" s="406"/>
      <c r="BD20" s="2"/>
      <c r="BE20" s="2"/>
    </row>
    <row r="21" spans="1:58" ht="18" customHeight="1">
      <c r="A21" s="2"/>
      <c r="B21" s="159" t="s">
        <v>295</v>
      </c>
      <c r="C21" s="159"/>
      <c r="D21" s="159"/>
      <c r="E21" s="406">
        <v>178.43003712859667</v>
      </c>
      <c r="F21" s="406">
        <v>605.55644491995258</v>
      </c>
      <c r="G21" s="406">
        <v>291.03595348499005</v>
      </c>
      <c r="H21" s="406">
        <v>-20.47096285701457</v>
      </c>
      <c r="I21" s="406">
        <v>224.18900478015541</v>
      </c>
      <c r="J21" s="406">
        <v>2280</v>
      </c>
      <c r="K21" s="406">
        <v>477</v>
      </c>
      <c r="L21" s="406">
        <v>-212</v>
      </c>
      <c r="M21" s="406">
        <v>-34</v>
      </c>
      <c r="N21" s="406">
        <v>36</v>
      </c>
      <c r="O21" s="406">
        <v>366</v>
      </c>
      <c r="P21" s="406">
        <v>98</v>
      </c>
      <c r="Q21" s="406">
        <v>644</v>
      </c>
      <c r="R21" s="406">
        <v>-767</v>
      </c>
      <c r="S21" s="406">
        <v>-22</v>
      </c>
      <c r="T21" s="406">
        <v>18</v>
      </c>
      <c r="U21" s="406">
        <v>498</v>
      </c>
      <c r="V21" s="406">
        <v>130</v>
      </c>
      <c r="W21" s="406">
        <v>221</v>
      </c>
      <c r="X21" s="406">
        <v>-390</v>
      </c>
      <c r="Y21" s="406">
        <v>13</v>
      </c>
      <c r="Z21" s="406">
        <v>312</v>
      </c>
      <c r="AA21" s="406">
        <v>-23</v>
      </c>
      <c r="AB21" s="406">
        <v>461</v>
      </c>
      <c r="AC21" s="406">
        <v>13</v>
      </c>
      <c r="AD21" s="406">
        <v>512</v>
      </c>
      <c r="AE21" s="406"/>
      <c r="AF21" s="406"/>
      <c r="AG21" s="406"/>
      <c r="AH21" s="406"/>
      <c r="AI21" s="406"/>
      <c r="AJ21" s="406"/>
      <c r="AK21" s="406"/>
      <c r="AL21" s="406"/>
      <c r="AM21" s="406"/>
      <c r="AN21" s="406"/>
      <c r="AO21" s="406"/>
      <c r="AP21" s="406"/>
      <c r="AQ21" s="406"/>
      <c r="AR21" s="406"/>
      <c r="AS21" s="406"/>
      <c r="AT21" s="406"/>
      <c r="AU21" s="406"/>
      <c r="AV21" s="406"/>
      <c r="AW21" s="406"/>
      <c r="AX21" s="406"/>
      <c r="AY21" s="406"/>
      <c r="AZ21" s="406"/>
      <c r="BA21" s="406"/>
      <c r="BB21" s="406"/>
      <c r="BC21" s="406"/>
      <c r="BD21" s="2"/>
      <c r="BE21" s="2"/>
    </row>
    <row r="22" spans="1:58" ht="18" customHeight="1">
      <c r="A22" s="2"/>
      <c r="B22" s="157" t="s">
        <v>296</v>
      </c>
      <c r="C22" s="157"/>
      <c r="D22" s="157"/>
      <c r="E22" s="406">
        <v>4030.5040964822383</v>
      </c>
      <c r="F22" s="406">
        <v>-1227.7542762908311</v>
      </c>
      <c r="G22" s="406">
        <v>-550.43375925296459</v>
      </c>
      <c r="H22" s="406">
        <v>2518.4090822733169</v>
      </c>
      <c r="I22" s="406">
        <v>-666.77837323400081</v>
      </c>
      <c r="J22" s="406">
        <v>1552</v>
      </c>
      <c r="K22" s="406">
        <v>589</v>
      </c>
      <c r="L22" s="406">
        <v>8709</v>
      </c>
      <c r="M22" s="406">
        <v>-344</v>
      </c>
      <c r="N22" s="406">
        <v>-2077</v>
      </c>
      <c r="O22" s="406">
        <v>857</v>
      </c>
      <c r="P22" s="406">
        <v>1075</v>
      </c>
      <c r="Q22" s="406">
        <v>46</v>
      </c>
      <c r="R22" s="406">
        <v>2597</v>
      </c>
      <c r="S22" s="406">
        <v>7164</v>
      </c>
      <c r="T22" s="406">
        <v>-119.64647999999943</v>
      </c>
      <c r="U22" s="406">
        <v>-5719.7569110000004</v>
      </c>
      <c r="V22" s="406">
        <v>11339.699533468505</v>
      </c>
      <c r="W22" s="406">
        <v>-2467.6995334685053</v>
      </c>
      <c r="X22" s="406">
        <v>-2968</v>
      </c>
      <c r="Y22" s="406">
        <v>-2347</v>
      </c>
      <c r="Z22" s="406">
        <v>2093</v>
      </c>
      <c r="AA22" s="406">
        <v>8068</v>
      </c>
      <c r="AB22" s="406">
        <v>11223</v>
      </c>
      <c r="AC22" s="406">
        <v>-2347</v>
      </c>
      <c r="AD22" s="406">
        <v>-11831</v>
      </c>
      <c r="AE22" s="406"/>
      <c r="AF22" s="406"/>
      <c r="AG22" s="406"/>
      <c r="AH22" s="406"/>
      <c r="AI22" s="406"/>
      <c r="AJ22" s="406"/>
      <c r="AK22" s="406"/>
      <c r="AL22" s="406"/>
      <c r="AM22" s="406"/>
      <c r="AN22" s="406"/>
      <c r="AO22" s="406"/>
      <c r="AP22" s="406"/>
      <c r="AQ22" s="406"/>
      <c r="AR22" s="406"/>
      <c r="AS22" s="406"/>
      <c r="AT22" s="406"/>
      <c r="AU22" s="406"/>
      <c r="AV22" s="406"/>
      <c r="AW22" s="406"/>
      <c r="AX22" s="406"/>
      <c r="AY22" s="406"/>
      <c r="AZ22" s="406"/>
      <c r="BA22" s="406"/>
      <c r="BB22" s="406"/>
      <c r="BC22" s="406"/>
      <c r="BD22" s="2"/>
      <c r="BE22" s="2"/>
    </row>
    <row r="23" spans="1:58" ht="18" customHeight="1">
      <c r="A23" s="2"/>
      <c r="B23" s="159" t="s">
        <v>297</v>
      </c>
      <c r="C23" s="159"/>
      <c r="D23" s="159"/>
      <c r="E23" s="406">
        <v>-4005.6364113108611</v>
      </c>
      <c r="F23" s="406">
        <v>427.19070032418426</v>
      </c>
      <c r="G23" s="406">
        <v>1914.7450189617323</v>
      </c>
      <c r="H23" s="406">
        <v>-4301.3482214741816</v>
      </c>
      <c r="I23" s="406">
        <v>-2018.7826638524607</v>
      </c>
      <c r="J23" s="406">
        <v>-34062</v>
      </c>
      <c r="K23" s="406">
        <v>31659</v>
      </c>
      <c r="L23" s="406">
        <v>-4462</v>
      </c>
      <c r="M23" s="406">
        <v>-7362</v>
      </c>
      <c r="N23" s="406">
        <v>-1673</v>
      </c>
      <c r="O23" s="406">
        <v>-4408</v>
      </c>
      <c r="P23" s="406">
        <v>1566</v>
      </c>
      <c r="Q23" s="406">
        <v>-1226</v>
      </c>
      <c r="R23" s="406">
        <v>-2035</v>
      </c>
      <c r="S23" s="406">
        <v>-7781</v>
      </c>
      <c r="T23" s="406">
        <v>-7115.9230029999999</v>
      </c>
      <c r="U23" s="406">
        <v>3815.5152259999995</v>
      </c>
      <c r="V23" s="406">
        <v>-11758.833322238723</v>
      </c>
      <c r="W23" s="406">
        <v>-3802</v>
      </c>
      <c r="X23" s="406">
        <v>-14777</v>
      </c>
      <c r="Y23" s="406">
        <v>-23163.167216312002</v>
      </c>
      <c r="Z23" s="406">
        <v>11962</v>
      </c>
      <c r="AA23" s="406">
        <v>-34161</v>
      </c>
      <c r="AB23" s="406">
        <v>-15274</v>
      </c>
      <c r="AC23" s="406">
        <v>-21170.167216312002</v>
      </c>
      <c r="AD23" s="406">
        <v>-18508</v>
      </c>
      <c r="AE23" s="406">
        <v>-21551</v>
      </c>
      <c r="AF23" s="406">
        <v>-16188</v>
      </c>
      <c r="AG23" s="406">
        <v>-25064</v>
      </c>
      <c r="AH23" s="406">
        <v>10681</v>
      </c>
      <c r="AI23" s="406">
        <v>2340</v>
      </c>
      <c r="AJ23" s="406">
        <v>1225.2081511497017</v>
      </c>
      <c r="AK23" s="406">
        <v>-168808.6421489577</v>
      </c>
      <c r="AL23" s="406">
        <v>23180.091351321757</v>
      </c>
      <c r="AM23" s="406">
        <v>-26095.042489842454</v>
      </c>
      <c r="AN23" s="406">
        <v>3417.1323419291039</v>
      </c>
      <c r="AO23" s="406">
        <v>4858.3490036674884</v>
      </c>
      <c r="AP23" s="406">
        <v>-10386.230341573271</v>
      </c>
      <c r="AQ23" s="406">
        <v>6259.4690196704305</v>
      </c>
      <c r="AR23" s="406">
        <v>10000.396852038561</v>
      </c>
      <c r="AS23" s="406">
        <v>-8338</v>
      </c>
      <c r="AT23" s="406">
        <v>16651.063808431602</v>
      </c>
      <c r="AU23" s="406">
        <v>-49884.9829994233</v>
      </c>
      <c r="AV23" s="406">
        <v>9140.3096382340227</v>
      </c>
      <c r="AW23" s="406">
        <v>-14114</v>
      </c>
      <c r="AX23" s="406">
        <v>5651</v>
      </c>
      <c r="AY23" s="406">
        <v>9246.367751840633</v>
      </c>
      <c r="AZ23" s="406">
        <v>21094.164725503269</v>
      </c>
      <c r="BA23" s="406">
        <v>-3311.0630856215776</v>
      </c>
      <c r="BB23" s="406">
        <v>2605.9831316046721</v>
      </c>
      <c r="BC23" s="406">
        <v>34461.757627558269</v>
      </c>
      <c r="BD23" s="2"/>
      <c r="BE23" s="2"/>
      <c r="BF23" s="251"/>
    </row>
    <row r="24" spans="1:58" ht="18" customHeight="1">
      <c r="A24" s="2"/>
      <c r="B24" s="157"/>
      <c r="C24" s="157"/>
      <c r="D24" s="157"/>
      <c r="E24" s="407"/>
      <c r="F24" s="407"/>
      <c r="G24" s="407"/>
      <c r="H24" s="407"/>
      <c r="I24" s="407"/>
      <c r="J24" s="407"/>
      <c r="K24" s="407"/>
      <c r="L24" s="407"/>
      <c r="M24" s="407"/>
      <c r="N24" s="407"/>
      <c r="O24" s="407"/>
      <c r="P24" s="407"/>
      <c r="Q24" s="407"/>
      <c r="R24" s="407"/>
      <c r="S24" s="407"/>
      <c r="T24" s="407"/>
      <c r="U24" s="407"/>
      <c r="V24" s="407"/>
      <c r="W24" s="407"/>
      <c r="X24" s="407"/>
      <c r="Y24" s="407"/>
      <c r="Z24" s="407"/>
      <c r="AA24" s="407"/>
      <c r="AB24" s="407"/>
      <c r="AC24" s="407"/>
      <c r="AD24" s="407"/>
      <c r="AE24" s="407"/>
      <c r="AF24" s="407"/>
      <c r="AG24" s="407"/>
      <c r="AH24" s="407"/>
      <c r="AI24" s="407"/>
      <c r="AJ24" s="407"/>
      <c r="AK24" s="407"/>
      <c r="AL24" s="407"/>
      <c r="AM24" s="407"/>
      <c r="AN24" s="407"/>
      <c r="AO24" s="407"/>
      <c r="AP24" s="407"/>
      <c r="AQ24" s="407"/>
      <c r="AR24" s="407"/>
      <c r="AS24" s="407"/>
      <c r="AT24" s="407"/>
      <c r="AU24" s="407"/>
      <c r="AV24" s="407"/>
      <c r="AW24" s="407"/>
      <c r="AX24" s="407"/>
      <c r="AY24" s="407"/>
      <c r="AZ24" s="407"/>
      <c r="BA24" s="407"/>
      <c r="BB24" s="407"/>
      <c r="BC24" s="407"/>
      <c r="BD24" s="2"/>
      <c r="BE24" s="2"/>
    </row>
    <row r="25" spans="1:58" s="30" customFormat="1" ht="18" customHeight="1">
      <c r="A25" s="13"/>
      <c r="B25" s="163" t="s">
        <v>298</v>
      </c>
      <c r="C25" s="163"/>
      <c r="D25" s="163"/>
      <c r="E25" s="405">
        <v>55126.194177854137</v>
      </c>
      <c r="F25" s="405">
        <v>77214.382726066076</v>
      </c>
      <c r="G25" s="405">
        <v>58841.406863149015</v>
      </c>
      <c r="H25" s="405">
        <v>68171.091817760884</v>
      </c>
      <c r="I25" s="405">
        <v>60793.716940166996</v>
      </c>
      <c r="J25" s="405">
        <v>74439</v>
      </c>
      <c r="K25" s="405">
        <v>100917.36204599999</v>
      </c>
      <c r="L25" s="405">
        <v>68844.637954000005</v>
      </c>
      <c r="M25" s="405">
        <v>48378.160562000005</v>
      </c>
      <c r="N25" s="405">
        <v>83459.120502000005</v>
      </c>
      <c r="O25" s="405">
        <v>77000.161707000007</v>
      </c>
      <c r="P25" s="405">
        <v>82194.717791000003</v>
      </c>
      <c r="Q25" s="405">
        <v>61281</v>
      </c>
      <c r="R25" s="405">
        <v>97180.918686000005</v>
      </c>
      <c r="S25" s="405">
        <v>73638</v>
      </c>
      <c r="T25" s="405">
        <v>78108</v>
      </c>
      <c r="U25" s="405">
        <v>77335</v>
      </c>
      <c r="V25" s="405">
        <v>105786</v>
      </c>
      <c r="W25" s="405">
        <v>91507</v>
      </c>
      <c r="X25" s="405">
        <v>70581</v>
      </c>
      <c r="Y25" s="405">
        <v>45398</v>
      </c>
      <c r="Z25" s="405">
        <v>124791</v>
      </c>
      <c r="AA25" s="405">
        <f>SUM(AA16:AA23)</f>
        <v>55695</v>
      </c>
      <c r="AB25" s="405">
        <v>68144</v>
      </c>
      <c r="AC25" s="405">
        <v>45398</v>
      </c>
      <c r="AD25" s="405">
        <v>53848</v>
      </c>
      <c r="AE25" s="405">
        <v>47115</v>
      </c>
      <c r="AF25" s="405">
        <v>53938</v>
      </c>
      <c r="AG25" s="405">
        <v>54647</v>
      </c>
      <c r="AH25" s="405">
        <v>92174</v>
      </c>
      <c r="AI25" s="405">
        <v>70325</v>
      </c>
      <c r="AJ25" s="405">
        <v>117057</v>
      </c>
      <c r="AK25" s="405">
        <v>-75333</v>
      </c>
      <c r="AL25" s="405">
        <v>126318</v>
      </c>
      <c r="AM25" s="405">
        <v>103775</v>
      </c>
      <c r="AN25" s="405">
        <v>128813</v>
      </c>
      <c r="AO25" s="405">
        <v>123348</v>
      </c>
      <c r="AP25" s="405">
        <v>134746</v>
      </c>
      <c r="AQ25" s="405">
        <v>130587</v>
      </c>
      <c r="AR25" s="405">
        <v>164028</v>
      </c>
      <c r="AS25" s="405">
        <v>142556</v>
      </c>
      <c r="AT25" s="405">
        <v>199430</v>
      </c>
      <c r="AU25" s="405">
        <v>133877</v>
      </c>
      <c r="AV25" s="405">
        <v>198179</v>
      </c>
      <c r="AW25" s="405">
        <v>159675</v>
      </c>
      <c r="AX25" s="405">
        <v>222866</v>
      </c>
      <c r="AY25" s="405">
        <v>196617</v>
      </c>
      <c r="AZ25" s="405">
        <v>217805.42533901811</v>
      </c>
      <c r="BA25" s="405">
        <v>180500.83316505479</v>
      </c>
      <c r="BB25" s="405">
        <v>227209</v>
      </c>
      <c r="BC25" s="405">
        <v>256695.4</v>
      </c>
      <c r="BD25" s="13"/>
      <c r="BE25" s="13"/>
    </row>
    <row r="26" spans="1:58" ht="5.25" customHeight="1">
      <c r="A26" s="2"/>
      <c r="B26" s="157"/>
      <c r="C26" s="157"/>
      <c r="D26" s="157"/>
      <c r="E26" s="406"/>
      <c r="F26" s="406"/>
      <c r="G26" s="406"/>
      <c r="H26" s="406"/>
      <c r="I26" s="406"/>
      <c r="J26" s="406"/>
      <c r="K26" s="406"/>
      <c r="L26" s="406"/>
      <c r="M26" s="406"/>
      <c r="N26" s="406"/>
      <c r="O26" s="406"/>
      <c r="P26" s="406"/>
      <c r="Q26" s="406"/>
      <c r="R26" s="406"/>
      <c r="S26" s="406"/>
      <c r="T26" s="406"/>
      <c r="U26" s="406"/>
      <c r="V26" s="406"/>
      <c r="W26" s="406"/>
      <c r="X26" s="406"/>
      <c r="Y26" s="406"/>
      <c r="Z26" s="406"/>
      <c r="AA26" s="406"/>
      <c r="AB26" s="406"/>
      <c r="AC26" s="406"/>
      <c r="AD26" s="406"/>
      <c r="AE26" s="406"/>
      <c r="AF26" s="406"/>
      <c r="AG26" s="406"/>
      <c r="AH26" s="406"/>
      <c r="AI26" s="406"/>
      <c r="AJ26" s="406"/>
      <c r="AK26" s="406"/>
      <c r="AL26" s="406"/>
      <c r="AM26" s="406"/>
      <c r="AN26" s="406"/>
      <c r="AO26" s="406"/>
      <c r="AP26" s="406"/>
      <c r="AQ26" s="406"/>
      <c r="AR26" s="406"/>
      <c r="AS26" s="406"/>
      <c r="AT26" s="406"/>
      <c r="AU26" s="406"/>
      <c r="AV26" s="406"/>
      <c r="AW26" s="406"/>
      <c r="AX26" s="406"/>
      <c r="AY26" s="406"/>
      <c r="AZ26" s="406"/>
      <c r="BA26" s="406"/>
      <c r="BB26" s="406"/>
      <c r="BC26" s="406"/>
      <c r="BD26" s="2"/>
      <c r="BE26" s="2"/>
    </row>
    <row r="27" spans="1:58" ht="18" customHeight="1">
      <c r="A27" s="2"/>
      <c r="B27" s="159" t="s">
        <v>299</v>
      </c>
      <c r="C27" s="159"/>
      <c r="D27" s="159"/>
      <c r="E27" s="406"/>
      <c r="F27" s="406"/>
      <c r="G27" s="406"/>
      <c r="H27" s="406"/>
      <c r="I27" s="406"/>
      <c r="J27" s="406">
        <v>2200</v>
      </c>
      <c r="K27" s="406">
        <v>0</v>
      </c>
      <c r="L27" s="406">
        <v>0</v>
      </c>
      <c r="M27" s="406">
        <v>0</v>
      </c>
      <c r="N27" s="406">
        <v>9510</v>
      </c>
      <c r="O27" s="406">
        <v>2819</v>
      </c>
      <c r="P27" s="406">
        <v>86</v>
      </c>
      <c r="Q27" s="406">
        <v>4205</v>
      </c>
      <c r="R27" s="406">
        <v>0</v>
      </c>
      <c r="S27" s="406">
        <v>0</v>
      </c>
      <c r="T27" s="406">
        <v>0</v>
      </c>
      <c r="U27" s="406">
        <v>0</v>
      </c>
      <c r="V27" s="406">
        <v>9510</v>
      </c>
      <c r="W27" s="406">
        <v>0</v>
      </c>
      <c r="X27" s="406">
        <v>0</v>
      </c>
      <c r="Y27" s="406">
        <v>0</v>
      </c>
      <c r="Z27" s="406">
        <v>10010</v>
      </c>
      <c r="AA27" s="406"/>
      <c r="AB27" s="406">
        <v>0</v>
      </c>
      <c r="AC27" s="406">
        <v>0</v>
      </c>
      <c r="AD27" s="406">
        <v>0</v>
      </c>
      <c r="AE27" s="406">
        <v>0</v>
      </c>
      <c r="AF27" s="406">
        <v>0</v>
      </c>
      <c r="AG27" s="406"/>
      <c r="AH27" s="406"/>
      <c r="AI27" s="406"/>
      <c r="AJ27" s="406"/>
      <c r="AK27" s="406"/>
      <c r="AL27" s="406"/>
      <c r="AM27" s="406"/>
      <c r="AN27" s="406"/>
      <c r="AO27" s="406"/>
      <c r="AP27" s="406"/>
      <c r="AQ27" s="406"/>
      <c r="AR27" s="406"/>
      <c r="AS27" s="406"/>
      <c r="AT27" s="406"/>
      <c r="AU27" s="406"/>
      <c r="AV27" s="406"/>
      <c r="AW27" s="406"/>
      <c r="AX27" s="406"/>
      <c r="AY27" s="406"/>
      <c r="AZ27" s="406"/>
      <c r="BA27" s="406"/>
      <c r="BB27" s="406"/>
      <c r="BC27" s="406"/>
      <c r="BD27" s="2"/>
      <c r="BE27" s="2"/>
    </row>
    <row r="28" spans="1:58" ht="18" customHeight="1">
      <c r="A28" s="2"/>
      <c r="B28" s="159" t="s">
        <v>300</v>
      </c>
      <c r="C28" s="159"/>
      <c r="D28" s="159"/>
      <c r="E28" s="406">
        <v>-8979.1202190743315</v>
      </c>
      <c r="F28" s="406">
        <v>-7143.083211486377</v>
      </c>
      <c r="G28" s="406">
        <v>-10187.451639036135</v>
      </c>
      <c r="H28" s="406">
        <v>-8205.4859685854026</v>
      </c>
      <c r="I28" s="406">
        <v>-7074.0318422227174</v>
      </c>
      <c r="J28" s="406">
        <v>-5474</v>
      </c>
      <c r="K28" s="406">
        <v>-9168</v>
      </c>
      <c r="L28" s="406">
        <v>-9595</v>
      </c>
      <c r="M28" s="406">
        <v>-10802</v>
      </c>
      <c r="N28" s="406">
        <v>-6641</v>
      </c>
      <c r="O28" s="406">
        <v>-11237</v>
      </c>
      <c r="P28" s="406">
        <v>-13880</v>
      </c>
      <c r="Q28" s="406">
        <v>-14353</v>
      </c>
      <c r="R28" s="406">
        <v>-10299</v>
      </c>
      <c r="S28" s="406">
        <v>-15663</v>
      </c>
      <c r="T28" s="406">
        <v>-11902</v>
      </c>
      <c r="U28" s="406">
        <v>-8972</v>
      </c>
      <c r="V28" s="406">
        <v>-6676</v>
      </c>
      <c r="W28" s="406">
        <v>-11111</v>
      </c>
      <c r="X28" s="406">
        <v>-4834</v>
      </c>
      <c r="Y28" s="406">
        <v>-7852.8074783420379</v>
      </c>
      <c r="Z28" s="406">
        <v>-1426</v>
      </c>
      <c r="AA28" s="406">
        <v>-6084</v>
      </c>
      <c r="AB28" s="406">
        <v>-1841</v>
      </c>
      <c r="AC28" s="406">
        <v>-7852.8074783420379</v>
      </c>
      <c r="AD28" s="406">
        <v>-7208</v>
      </c>
      <c r="AE28" s="406">
        <v>-5175</v>
      </c>
      <c r="AF28" s="406">
        <v>6372</v>
      </c>
      <c r="AG28" s="406">
        <v>-5593</v>
      </c>
      <c r="AH28" s="406">
        <v>-7188</v>
      </c>
      <c r="AI28" s="406">
        <v>-6188.7591383758554</v>
      </c>
      <c r="AJ28" s="406">
        <v>-5411.5030823085326</v>
      </c>
      <c r="AK28" s="406">
        <v>-4148.2945124913895</v>
      </c>
      <c r="AL28" s="406">
        <v>-10078.910532155838</v>
      </c>
      <c r="AM28" s="406">
        <v>-3397.2240887196313</v>
      </c>
      <c r="AN28" s="406">
        <v>-5471.7868780692515</v>
      </c>
      <c r="AO28" s="406">
        <v>-3379.9177070984369</v>
      </c>
      <c r="AP28" s="406">
        <v>-12525.52764237882</v>
      </c>
      <c r="AQ28" s="406">
        <v>-3954.7487256943677</v>
      </c>
      <c r="AR28" s="406">
        <v>-6570.5442165842906</v>
      </c>
      <c r="AS28" s="406">
        <v>1298</v>
      </c>
      <c r="AT28" s="406">
        <v>-19943.327271166323</v>
      </c>
      <c r="AU28" s="406">
        <v>-4977.1172753148167</v>
      </c>
      <c r="AV28" s="406">
        <v>-8019.5153047814201</v>
      </c>
      <c r="AW28" s="406">
        <v>-4975</v>
      </c>
      <c r="AX28" s="406">
        <v>-14769</v>
      </c>
      <c r="AY28" s="406">
        <v>-5326.3481587115712</v>
      </c>
      <c r="AZ28" s="406">
        <v>-3458.9333193133571</v>
      </c>
      <c r="BA28" s="406">
        <v>-5251.8210378449221</v>
      </c>
      <c r="BB28" s="406">
        <v>-9175.2129700220867</v>
      </c>
      <c r="BC28" s="406">
        <v>-7387.8735410851295</v>
      </c>
      <c r="BD28" s="2"/>
      <c r="BE28" s="2"/>
    </row>
    <row r="29" spans="1:58" ht="8.25" customHeight="1">
      <c r="A29" s="2"/>
      <c r="B29" s="157"/>
      <c r="C29" s="157"/>
      <c r="D29" s="157"/>
      <c r="E29" s="407"/>
      <c r="F29" s="407"/>
      <c r="G29" s="407"/>
      <c r="H29" s="407"/>
      <c r="I29" s="407"/>
      <c r="J29" s="407"/>
      <c r="K29" s="407"/>
      <c r="L29" s="407"/>
      <c r="M29" s="407"/>
      <c r="N29" s="407"/>
      <c r="O29" s="407"/>
      <c r="P29" s="407"/>
      <c r="Q29" s="407"/>
      <c r="R29" s="407"/>
      <c r="S29" s="407"/>
      <c r="T29" s="407"/>
      <c r="U29" s="407"/>
      <c r="V29" s="407"/>
      <c r="W29" s="407"/>
      <c r="X29" s="407"/>
      <c r="Y29" s="407"/>
      <c r="Z29" s="407"/>
      <c r="AA29" s="407"/>
      <c r="AB29" s="407"/>
      <c r="AC29" s="407"/>
      <c r="AD29" s="407"/>
      <c r="AE29" s="407"/>
      <c r="AF29" s="407"/>
      <c r="AG29" s="407"/>
      <c r="AH29" s="407"/>
      <c r="AI29" s="407"/>
      <c r="AJ29" s="407"/>
      <c r="AK29" s="407"/>
      <c r="AL29" s="407"/>
      <c r="AM29" s="407"/>
      <c r="AN29" s="407"/>
      <c r="AO29" s="407"/>
      <c r="AP29" s="407"/>
      <c r="AQ29" s="407"/>
      <c r="AR29" s="407"/>
      <c r="AS29" s="407"/>
      <c r="AT29" s="407"/>
      <c r="AU29" s="407"/>
      <c r="AV29" s="407"/>
      <c r="AW29" s="407"/>
      <c r="AX29" s="407"/>
      <c r="AY29" s="407"/>
      <c r="AZ29" s="407"/>
      <c r="BA29" s="407"/>
      <c r="BB29" s="407"/>
      <c r="BC29" s="407"/>
      <c r="BD29" s="2"/>
      <c r="BE29" s="2"/>
    </row>
    <row r="30" spans="1:58" s="30" customFormat="1" ht="18" customHeight="1">
      <c r="A30" s="13"/>
      <c r="B30" s="163" t="s">
        <v>301</v>
      </c>
      <c r="C30" s="163"/>
      <c r="D30" s="163"/>
      <c r="E30" s="405">
        <v>46163.073958779802</v>
      </c>
      <c r="F30" s="405">
        <v>70180.299514579703</v>
      </c>
      <c r="G30" s="405">
        <v>49344.169992692012</v>
      </c>
      <c r="H30" s="405">
        <v>60182.527756851094</v>
      </c>
      <c r="I30" s="405">
        <v>55124.646281067777</v>
      </c>
      <c r="J30" s="405">
        <v>72643</v>
      </c>
      <c r="K30" s="405">
        <v>92109.362045999995</v>
      </c>
      <c r="L30" s="405">
        <v>59621.637954000005</v>
      </c>
      <c r="M30" s="405">
        <v>37952.160562000005</v>
      </c>
      <c r="N30" s="405">
        <v>87049.120502000005</v>
      </c>
      <c r="O30" s="405">
        <v>69105.161707000007</v>
      </c>
      <c r="P30" s="405">
        <v>68537.717791000003</v>
      </c>
      <c r="Q30" s="405">
        <v>51326</v>
      </c>
      <c r="R30" s="405">
        <v>87291.918686000005</v>
      </c>
      <c r="S30" s="405">
        <v>58951</v>
      </c>
      <c r="T30" s="405">
        <v>66206</v>
      </c>
      <c r="U30" s="405">
        <v>68363</v>
      </c>
      <c r="V30" s="405">
        <v>108620</v>
      </c>
      <c r="W30" s="405">
        <v>80396</v>
      </c>
      <c r="X30" s="405">
        <v>65747</v>
      </c>
      <c r="Y30" s="405">
        <v>37545</v>
      </c>
      <c r="Z30" s="405">
        <v>133375</v>
      </c>
      <c r="AA30" s="405">
        <f>AA25+AA28</f>
        <v>49611</v>
      </c>
      <c r="AB30" s="405">
        <v>66303</v>
      </c>
      <c r="AC30" s="405">
        <v>37545.192521657962</v>
      </c>
      <c r="AD30" s="405">
        <v>46640</v>
      </c>
      <c r="AE30" s="405">
        <v>41940</v>
      </c>
      <c r="AF30" s="405">
        <v>60310</v>
      </c>
      <c r="AG30" s="405">
        <v>49054</v>
      </c>
      <c r="AH30" s="405">
        <v>84986</v>
      </c>
      <c r="AI30" s="405">
        <v>65067</v>
      </c>
      <c r="AJ30" s="405">
        <v>111645</v>
      </c>
      <c r="AK30" s="405">
        <v>-79481</v>
      </c>
      <c r="AL30" s="405">
        <v>116239</v>
      </c>
      <c r="AM30" s="405">
        <v>100378</v>
      </c>
      <c r="AN30" s="405">
        <v>123341</v>
      </c>
      <c r="AO30" s="405">
        <v>119968</v>
      </c>
      <c r="AP30" s="405">
        <v>122220</v>
      </c>
      <c r="AQ30" s="405">
        <v>126633</v>
      </c>
      <c r="AR30" s="405">
        <v>157457</v>
      </c>
      <c r="AS30" s="405">
        <v>143854</v>
      </c>
      <c r="AT30" s="405">
        <v>179487</v>
      </c>
      <c r="AU30" s="405">
        <v>128900</v>
      </c>
      <c r="AV30" s="405">
        <v>190159</v>
      </c>
      <c r="AW30" s="405">
        <v>154700</v>
      </c>
      <c r="AX30" s="405">
        <v>208097</v>
      </c>
      <c r="AY30" s="405">
        <v>191291</v>
      </c>
      <c r="AZ30" s="405">
        <v>214346.37041157729</v>
      </c>
      <c r="BA30" s="405">
        <v>175249.01212720992</v>
      </c>
      <c r="BB30" s="405">
        <v>218034</v>
      </c>
      <c r="BC30" s="405">
        <v>249307.4</v>
      </c>
      <c r="BD30" s="13"/>
      <c r="BE30" s="13"/>
    </row>
    <row r="31" spans="1:58" ht="8.25" customHeight="1">
      <c r="A31" s="2"/>
      <c r="B31" s="157"/>
      <c r="C31" s="157"/>
      <c r="D31" s="157"/>
      <c r="E31" s="406"/>
      <c r="F31" s="406"/>
      <c r="G31" s="406"/>
      <c r="H31" s="406"/>
      <c r="I31" s="406"/>
      <c r="J31" s="406"/>
      <c r="K31" s="406"/>
      <c r="L31" s="406"/>
      <c r="M31" s="406"/>
      <c r="N31" s="406"/>
      <c r="O31" s="406"/>
      <c r="P31" s="406"/>
      <c r="Q31" s="406"/>
      <c r="R31" s="406"/>
      <c r="S31" s="406"/>
      <c r="T31" s="406"/>
      <c r="U31" s="406"/>
      <c r="V31" s="406"/>
      <c r="W31" s="406"/>
      <c r="X31" s="406"/>
      <c r="Y31" s="406"/>
      <c r="Z31" s="406"/>
      <c r="AA31" s="406"/>
      <c r="AB31" s="406"/>
      <c r="AC31" s="406"/>
      <c r="AD31" s="406"/>
      <c r="AE31" s="406"/>
      <c r="AF31" s="406"/>
      <c r="AG31" s="406"/>
      <c r="AH31" s="406"/>
      <c r="AI31" s="406"/>
      <c r="AJ31" s="406"/>
      <c r="AK31" s="406"/>
      <c r="AL31" s="406"/>
      <c r="AM31" s="406"/>
      <c r="AN31" s="406"/>
      <c r="AO31" s="406"/>
      <c r="AP31" s="406"/>
      <c r="AQ31" s="406"/>
      <c r="AR31" s="406"/>
      <c r="AS31" s="406"/>
      <c r="AT31" s="406"/>
      <c r="AU31" s="406"/>
      <c r="AV31" s="406"/>
      <c r="AW31" s="406"/>
      <c r="AX31" s="406"/>
      <c r="AY31" s="406"/>
      <c r="AZ31" s="406"/>
      <c r="BA31" s="406"/>
      <c r="BB31" s="406"/>
      <c r="BC31" s="406"/>
      <c r="BD31" s="2"/>
      <c r="BE31" s="2"/>
    </row>
    <row r="32" spans="1:58" ht="18" customHeight="1">
      <c r="A32" s="2"/>
      <c r="B32" s="163" t="s">
        <v>302</v>
      </c>
      <c r="C32" s="163"/>
      <c r="D32" s="163"/>
      <c r="E32" s="406"/>
      <c r="F32" s="406"/>
      <c r="G32" s="406"/>
      <c r="H32" s="406"/>
      <c r="I32" s="406"/>
      <c r="J32" s="406"/>
      <c r="K32" s="406"/>
      <c r="L32" s="406"/>
      <c r="M32" s="406"/>
      <c r="N32" s="406"/>
      <c r="O32" s="406"/>
      <c r="P32" s="406"/>
      <c r="Q32" s="406"/>
      <c r="R32" s="406"/>
      <c r="S32" s="406"/>
      <c r="T32" s="406"/>
      <c r="U32" s="406"/>
      <c r="V32" s="406"/>
      <c r="W32" s="406"/>
      <c r="X32" s="406"/>
      <c r="Y32" s="406"/>
      <c r="Z32" s="406"/>
      <c r="AA32" s="406"/>
      <c r="AB32" s="406"/>
      <c r="AC32" s="406"/>
      <c r="AD32" s="406"/>
      <c r="AE32" s="406"/>
      <c r="AF32" s="406"/>
      <c r="AG32" s="406"/>
      <c r="AH32" s="406"/>
      <c r="AI32" s="406"/>
      <c r="AJ32" s="406"/>
      <c r="AK32" s="406"/>
      <c r="AL32" s="406"/>
      <c r="AM32" s="406"/>
      <c r="AN32" s="406"/>
      <c r="AO32" s="406"/>
      <c r="AP32" s="406"/>
      <c r="AQ32" s="406"/>
      <c r="AR32" s="406"/>
      <c r="AS32" s="406"/>
      <c r="AT32" s="406"/>
      <c r="AU32" s="406"/>
      <c r="AV32" s="406"/>
      <c r="AW32" s="406"/>
      <c r="AX32" s="406"/>
      <c r="AY32" s="406"/>
      <c r="AZ32" s="406"/>
      <c r="BA32" s="406"/>
      <c r="BB32" s="406"/>
      <c r="BC32" s="406"/>
      <c r="BD32" s="2"/>
      <c r="BE32" s="2"/>
    </row>
    <row r="33" spans="1:57" ht="9.75" customHeight="1">
      <c r="A33" s="2"/>
      <c r="B33" s="157"/>
      <c r="C33" s="157"/>
      <c r="D33" s="157"/>
      <c r="E33" s="406"/>
      <c r="F33" s="406"/>
      <c r="G33" s="406"/>
      <c r="H33" s="406"/>
      <c r="I33" s="406"/>
      <c r="J33" s="406"/>
      <c r="K33" s="406"/>
      <c r="L33" s="406"/>
      <c r="M33" s="406"/>
      <c r="N33" s="406"/>
      <c r="O33" s="406"/>
      <c r="P33" s="406"/>
      <c r="Q33" s="406"/>
      <c r="R33" s="406"/>
      <c r="S33" s="406"/>
      <c r="T33" s="406"/>
      <c r="U33" s="406"/>
      <c r="V33" s="406"/>
      <c r="W33" s="406"/>
      <c r="X33" s="406"/>
      <c r="Y33" s="406"/>
      <c r="Z33" s="406"/>
      <c r="AA33" s="406"/>
      <c r="AB33" s="406"/>
      <c r="AC33" s="406"/>
      <c r="AD33" s="406"/>
      <c r="AE33" s="406"/>
      <c r="AF33" s="406"/>
      <c r="AG33" s="406"/>
      <c r="AH33" s="406"/>
      <c r="AI33" s="406"/>
      <c r="AJ33" s="406"/>
      <c r="AK33" s="406"/>
      <c r="AL33" s="406"/>
      <c r="AM33" s="406"/>
      <c r="AN33" s="406"/>
      <c r="AO33" s="406"/>
      <c r="AP33" s="406"/>
      <c r="AQ33" s="406"/>
      <c r="AR33" s="406"/>
      <c r="AS33" s="406"/>
      <c r="AT33" s="406"/>
      <c r="AU33" s="406"/>
      <c r="AV33" s="406"/>
      <c r="AW33" s="406"/>
      <c r="AX33" s="406"/>
      <c r="AY33" s="406"/>
      <c r="AZ33" s="406"/>
      <c r="BA33" s="406"/>
      <c r="BB33" s="406"/>
      <c r="BC33" s="406"/>
      <c r="BD33" s="2"/>
      <c r="BE33" s="2"/>
    </row>
    <row r="34" spans="1:57" ht="18" customHeight="1">
      <c r="A34" s="2"/>
      <c r="B34" s="159" t="s">
        <v>303</v>
      </c>
      <c r="C34" s="159"/>
      <c r="D34" s="159"/>
      <c r="E34" s="406">
        <v>-37234.712015410529</v>
      </c>
      <c r="F34" s="406">
        <v>-28084.538137172527</v>
      </c>
      <c r="G34" s="406">
        <v>-34701.582655951774</v>
      </c>
      <c r="H34" s="406">
        <v>-34599.902138973499</v>
      </c>
      <c r="I34" s="406">
        <v>-34267.819840072785</v>
      </c>
      <c r="J34" s="406">
        <v>-45988</v>
      </c>
      <c r="K34" s="406">
        <v>-27645</v>
      </c>
      <c r="L34" s="406">
        <v>-18952</v>
      </c>
      <c r="M34" s="406">
        <v>-21574</v>
      </c>
      <c r="N34" s="406">
        <v>-29424</v>
      </c>
      <c r="O34" s="406">
        <v>-36949</v>
      </c>
      <c r="P34" s="406">
        <v>-38225</v>
      </c>
      <c r="Q34" s="406">
        <v>-41813</v>
      </c>
      <c r="R34" s="406">
        <v>-44062</v>
      </c>
      <c r="S34" s="406">
        <v>-44716</v>
      </c>
      <c r="T34" s="406">
        <v>-49316</v>
      </c>
      <c r="U34" s="406">
        <v>-55219</v>
      </c>
      <c r="V34" s="406">
        <v>-59577</v>
      </c>
      <c r="W34" s="406">
        <v>-44926</v>
      </c>
      <c r="X34" s="406">
        <v>-65732</v>
      </c>
      <c r="Y34" s="406">
        <v>-53149</v>
      </c>
      <c r="Z34" s="406">
        <v>-43792</v>
      </c>
      <c r="AA34" s="406">
        <v>-57717</v>
      </c>
      <c r="AB34" s="406">
        <v>-81589</v>
      </c>
      <c r="AC34" s="406">
        <v>-53149</v>
      </c>
      <c r="AD34" s="406">
        <v>-66866</v>
      </c>
      <c r="AE34" s="406">
        <v>-92057</v>
      </c>
      <c r="AF34" s="406">
        <v>-53366</v>
      </c>
      <c r="AG34" s="406">
        <v>-47619</v>
      </c>
      <c r="AH34" s="406">
        <v>-49202</v>
      </c>
      <c r="AI34" s="406">
        <v>-39691.072349518145</v>
      </c>
      <c r="AJ34" s="406">
        <v>-56614.365909091895</v>
      </c>
      <c r="AK34" s="406">
        <v>-45077.91711683543</v>
      </c>
      <c r="AL34" s="406">
        <v>-53338.333417768627</v>
      </c>
      <c r="AM34" s="406">
        <v>-54346.699051199401</v>
      </c>
      <c r="AN34" s="406">
        <v>-69759.977629607994</v>
      </c>
      <c r="AO34" s="406">
        <v>-69260.995065608178</v>
      </c>
      <c r="AP34" s="406">
        <v>-71552.375648518762</v>
      </c>
      <c r="AQ34" s="406">
        <v>-60887.324286443531</v>
      </c>
      <c r="AR34" s="406">
        <v>-67699.524315807183</v>
      </c>
      <c r="AS34" s="406">
        <v>-50476</v>
      </c>
      <c r="AT34" s="406">
        <v>-70040.622329480524</v>
      </c>
      <c r="AU34" s="406">
        <v>-53588.311867359749</v>
      </c>
      <c r="AV34" s="406">
        <v>-64201.443859943785</v>
      </c>
      <c r="AW34" s="406">
        <v>-71851</v>
      </c>
      <c r="AX34" s="406">
        <v>-90930.878874112954</v>
      </c>
      <c r="AY34" s="406">
        <v>-97060</v>
      </c>
      <c r="AZ34" s="406">
        <v>-98722.849843248856</v>
      </c>
      <c r="BA34" s="406">
        <v>-93973.422831416421</v>
      </c>
      <c r="BB34" s="406">
        <v>-98751.160994168866</v>
      </c>
      <c r="BC34" s="406">
        <v>-95561.514436174388</v>
      </c>
      <c r="BD34" s="2"/>
      <c r="BE34" s="2"/>
    </row>
    <row r="35" spans="1:57" ht="18" customHeight="1">
      <c r="A35" s="2"/>
      <c r="B35" s="164" t="s">
        <v>304</v>
      </c>
      <c r="C35" s="164"/>
      <c r="D35" s="164"/>
      <c r="E35" s="406">
        <v>-1931.0421673584569</v>
      </c>
      <c r="F35" s="406">
        <v>-1156.4298668685087</v>
      </c>
      <c r="G35" s="406">
        <v>-1003.3761546846461</v>
      </c>
      <c r="H35" s="406">
        <v>-1300.4992025611318</v>
      </c>
      <c r="I35" s="406">
        <v>-2327.98820246375</v>
      </c>
      <c r="J35" s="406">
        <v>5777</v>
      </c>
      <c r="K35" s="406">
        <v>-2005</v>
      </c>
      <c r="L35" s="406">
        <v>431</v>
      </c>
      <c r="M35" s="406">
        <v>157</v>
      </c>
      <c r="N35" s="406">
        <v>1156</v>
      </c>
      <c r="O35" s="406">
        <v>576</v>
      </c>
      <c r="P35" s="406">
        <v>60</v>
      </c>
      <c r="Q35" s="406">
        <v>803</v>
      </c>
      <c r="R35" s="406">
        <v>387</v>
      </c>
      <c r="S35" s="406">
        <v>359</v>
      </c>
      <c r="T35" s="406">
        <v>1588</v>
      </c>
      <c r="U35" s="406">
        <v>1464</v>
      </c>
      <c r="V35" s="406">
        <v>1688</v>
      </c>
      <c r="W35" s="406">
        <v>410</v>
      </c>
      <c r="X35" s="406">
        <v>2511</v>
      </c>
      <c r="Y35" s="406">
        <v>207</v>
      </c>
      <c r="Z35" s="406">
        <v>744</v>
      </c>
      <c r="AA35" s="406">
        <v>1672</v>
      </c>
      <c r="AB35" s="406">
        <v>3167</v>
      </c>
      <c r="AC35" s="406">
        <v>207</v>
      </c>
      <c r="AD35" s="406">
        <v>97</v>
      </c>
      <c r="AE35" s="406">
        <v>-5910</v>
      </c>
      <c r="AF35" s="406">
        <v>-13430.013188008761</v>
      </c>
      <c r="AG35" s="406">
        <v>-11303.531765000002</v>
      </c>
      <c r="AH35" s="406">
        <v>-10201.28046</v>
      </c>
      <c r="AI35" s="406">
        <v>-3427.891305640831</v>
      </c>
      <c r="AJ35" s="406">
        <v>-1883.6644703499387</v>
      </c>
      <c r="AK35" s="406">
        <v>-15177.130578276374</v>
      </c>
      <c r="AL35" s="406">
        <v>-1764.2666111500866</v>
      </c>
      <c r="AM35" s="406">
        <v>-1398.4009328066177</v>
      </c>
      <c r="AN35" s="406"/>
      <c r="AO35" s="406"/>
      <c r="AP35" s="406"/>
      <c r="AQ35" s="406"/>
      <c r="AR35" s="406"/>
      <c r="AS35" s="406"/>
      <c r="AT35" s="406"/>
      <c r="AU35" s="406"/>
      <c r="AY35" s="406"/>
      <c r="AZ35" s="406"/>
      <c r="BA35" s="406"/>
      <c r="BB35" s="406"/>
      <c r="BC35" s="406"/>
      <c r="BD35" s="2"/>
      <c r="BE35" s="2"/>
    </row>
    <row r="36" spans="1:57" ht="18" customHeight="1">
      <c r="A36" s="2"/>
      <c r="B36" s="159" t="s">
        <v>305</v>
      </c>
      <c r="C36" s="159"/>
      <c r="D36" s="159"/>
      <c r="E36" s="406"/>
      <c r="F36" s="406"/>
      <c r="G36" s="406"/>
      <c r="H36" s="406"/>
      <c r="I36" s="406"/>
      <c r="J36" s="406">
        <v>-1638</v>
      </c>
      <c r="K36" s="406">
        <v>-4831</v>
      </c>
      <c r="L36" s="406">
        <v>-943</v>
      </c>
      <c r="M36" s="406">
        <v>-57448</v>
      </c>
      <c r="N36" s="406">
        <v>-6961</v>
      </c>
      <c r="O36" s="406">
        <v>-4846</v>
      </c>
      <c r="P36" s="406">
        <v>-5626</v>
      </c>
      <c r="Q36" s="406">
        <v>-48537</v>
      </c>
      <c r="R36" s="406">
        <v>-67617</v>
      </c>
      <c r="S36" s="406">
        <v>-8859</v>
      </c>
      <c r="T36" s="406">
        <v>-1643</v>
      </c>
      <c r="U36" s="406">
        <v>-3333</v>
      </c>
      <c r="V36" s="406">
        <v>-47099</v>
      </c>
      <c r="W36" s="406">
        <v>-26520</v>
      </c>
      <c r="X36" s="406">
        <v>-89226</v>
      </c>
      <c r="Y36" s="406">
        <v>-2632</v>
      </c>
      <c r="Z36" s="406">
        <v>-2114</v>
      </c>
      <c r="AA36" s="406">
        <v>-3213</v>
      </c>
      <c r="AB36" s="406">
        <v>-3861</v>
      </c>
      <c r="AC36" s="406">
        <v>-2632</v>
      </c>
      <c r="AD36" s="406">
        <v>-8903</v>
      </c>
      <c r="AE36" s="406">
        <v>16277</v>
      </c>
      <c r="AF36" s="406">
        <v>14350</v>
      </c>
      <c r="AG36" s="406">
        <v>-9801</v>
      </c>
      <c r="AH36" s="406">
        <v>-8595</v>
      </c>
      <c r="AI36" s="406">
        <v>-4244.3700561259029</v>
      </c>
      <c r="AJ36" s="406">
        <v>-130950.12977126427</v>
      </c>
      <c r="AK36" s="406">
        <v>58553.51422024463</v>
      </c>
      <c r="AL36" s="406">
        <v>-831.97788599999978</v>
      </c>
      <c r="AM36" s="406">
        <v>49218.156378583335</v>
      </c>
      <c r="AN36" s="406">
        <v>-6025.2979622532748</v>
      </c>
      <c r="AO36" s="406">
        <v>-78484.753737591964</v>
      </c>
      <c r="AP36" s="406">
        <v>-3765.249712916007</v>
      </c>
      <c r="AQ36" s="406">
        <v>-8080.6511913545783</v>
      </c>
      <c r="AR36" s="406">
        <v>-132229.61311723007</v>
      </c>
      <c r="AS36" s="406">
        <v>-38999</v>
      </c>
      <c r="AT36" s="406">
        <v>-4135.815909132647</v>
      </c>
      <c r="AU36" s="406">
        <v>-88480.829632478752</v>
      </c>
      <c r="AV36" s="406">
        <v>-32132.724436034805</v>
      </c>
      <c r="AW36" s="406">
        <v>-3754</v>
      </c>
      <c r="AX36" s="406">
        <v>-12619.467333046267</v>
      </c>
      <c r="AY36" s="406">
        <v>-44009</v>
      </c>
      <c r="AZ36" s="406">
        <v>-3537.4615259428283</v>
      </c>
      <c r="BA36" s="406">
        <v>-79981.268526461674</v>
      </c>
      <c r="BB36" s="406">
        <v>-70756.918464499206</v>
      </c>
      <c r="BC36" s="406">
        <v>-56607.824807954341</v>
      </c>
      <c r="BE36" s="2"/>
    </row>
    <row r="37" spans="1:57" ht="18" customHeight="1">
      <c r="A37" s="2"/>
      <c r="B37" s="159" t="s">
        <v>306</v>
      </c>
      <c r="C37" s="159"/>
      <c r="D37" s="159"/>
      <c r="E37" s="406">
        <v>11586</v>
      </c>
      <c r="F37" s="406">
        <v>-14276</v>
      </c>
      <c r="G37" s="406">
        <v>17268.5</v>
      </c>
      <c r="H37" s="406">
        <v>-51315</v>
      </c>
      <c r="I37" s="406">
        <v>2639</v>
      </c>
      <c r="J37" s="406">
        <v>-47647</v>
      </c>
      <c r="K37" s="406">
        <v>20266</v>
      </c>
      <c r="L37" s="406">
        <v>-23351</v>
      </c>
      <c r="M37" s="406">
        <v>28734</v>
      </c>
      <c r="N37" s="406">
        <v>-15771</v>
      </c>
      <c r="O37" s="406">
        <v>11791</v>
      </c>
      <c r="P37" s="406">
        <v>11084</v>
      </c>
      <c r="Q37" s="406">
        <v>-20925</v>
      </c>
      <c r="R37" s="406">
        <v>4305</v>
      </c>
      <c r="S37" s="406">
        <v>17710</v>
      </c>
      <c r="T37" s="406">
        <v>33417</v>
      </c>
      <c r="U37" s="406">
        <v>8339</v>
      </c>
      <c r="V37" s="406">
        <v>-32195</v>
      </c>
      <c r="W37" s="406">
        <v>33475</v>
      </c>
      <c r="X37" s="406">
        <v>2188</v>
      </c>
      <c r="Y37" s="406">
        <v>2317</v>
      </c>
      <c r="Z37" s="406">
        <v>-9225</v>
      </c>
      <c r="AA37" s="406">
        <v>8083</v>
      </c>
      <c r="AB37" s="406">
        <v>-15890</v>
      </c>
      <c r="AC37" s="406">
        <v>2317</v>
      </c>
      <c r="AD37" s="406">
        <v>-5977.5250561905541</v>
      </c>
      <c r="AE37" s="406"/>
      <c r="AF37" s="406"/>
      <c r="AG37" s="406"/>
      <c r="AH37" s="406"/>
      <c r="AI37" s="406"/>
      <c r="AJ37" s="406"/>
      <c r="AK37" s="406"/>
      <c r="AL37" s="406"/>
      <c r="AM37" s="406"/>
      <c r="AN37" s="406"/>
      <c r="AO37" s="406"/>
      <c r="AP37" s="406">
        <v>54972.162992863981</v>
      </c>
      <c r="AQ37" s="406">
        <v>-83058.41065660544</v>
      </c>
      <c r="AR37" s="406">
        <v>60065.181240244092</v>
      </c>
      <c r="AS37" s="406">
        <v>-10681</v>
      </c>
      <c r="AT37" s="406">
        <v>10951.350925058719</v>
      </c>
      <c r="AU37" s="406">
        <v>13298.843882030291</v>
      </c>
      <c r="AV37" s="406">
        <v>-43563.682515165026</v>
      </c>
      <c r="AW37" s="406">
        <v>7313</v>
      </c>
      <c r="AX37" s="406">
        <v>-55757.500579667336</v>
      </c>
      <c r="AY37" s="406">
        <v>54505</v>
      </c>
      <c r="AZ37" s="406">
        <v>-52711.718647613568</v>
      </c>
      <c r="BA37" s="406">
        <v>72978.663499032613</v>
      </c>
      <c r="BB37" s="406">
        <v>27364.797089026932</v>
      </c>
      <c r="BC37" s="406">
        <v>7424.9192668083888</v>
      </c>
      <c r="BD37" s="105"/>
      <c r="BE37" s="105"/>
    </row>
    <row r="38" spans="1:57" ht="18" customHeight="1">
      <c r="A38" s="2"/>
      <c r="B38" s="159" t="s">
        <v>307</v>
      </c>
      <c r="C38" s="159"/>
      <c r="D38" s="159"/>
      <c r="E38" s="406"/>
      <c r="F38" s="406"/>
      <c r="G38" s="406"/>
      <c r="H38" s="406"/>
      <c r="I38" s="406"/>
      <c r="J38" s="406">
        <v>0</v>
      </c>
      <c r="K38" s="406">
        <v>-2500</v>
      </c>
      <c r="L38" s="406">
        <v>-6342</v>
      </c>
      <c r="M38" s="406">
        <v>0</v>
      </c>
      <c r="N38" s="406">
        <v>-357</v>
      </c>
      <c r="O38" s="406">
        <v>-2171</v>
      </c>
      <c r="P38" s="406">
        <v>0</v>
      </c>
      <c r="Q38" s="406">
        <v>-550</v>
      </c>
      <c r="R38" s="406">
        <v>0</v>
      </c>
      <c r="S38" s="406">
        <v>-2013</v>
      </c>
      <c r="T38" s="406">
        <v>-1002</v>
      </c>
      <c r="U38" s="406">
        <v>-203</v>
      </c>
      <c r="V38" s="406">
        <v>0</v>
      </c>
      <c r="W38" s="406">
        <v>-14736</v>
      </c>
      <c r="X38" s="406">
        <v>-30190</v>
      </c>
      <c r="Y38" s="406">
        <v>-44147</v>
      </c>
      <c r="Z38" s="406">
        <v>0</v>
      </c>
      <c r="AA38" s="406"/>
      <c r="AB38" s="406">
        <v>0</v>
      </c>
      <c r="AC38" s="406">
        <v>-44147</v>
      </c>
      <c r="AD38" s="406">
        <v>-2668</v>
      </c>
      <c r="AE38" s="406">
        <v>161</v>
      </c>
      <c r="AF38" s="406">
        <v>-14694</v>
      </c>
      <c r="AG38" s="406">
        <v>2442</v>
      </c>
      <c r="AH38" s="406">
        <v>522</v>
      </c>
      <c r="AI38" s="406">
        <v>1829.7684603142429</v>
      </c>
      <c r="AJ38" s="406">
        <v>598.76555088340547</v>
      </c>
      <c r="AK38" s="406">
        <v>-0.81449701765586724</v>
      </c>
      <c r="AL38" s="406">
        <v>3561.298383131546</v>
      </c>
      <c r="AM38" s="406">
        <v>76.111618937376534</v>
      </c>
      <c r="AN38" s="406"/>
      <c r="AO38" s="406"/>
      <c r="AP38" s="406">
        <v>0</v>
      </c>
      <c r="AQ38" s="406">
        <v>10048</v>
      </c>
      <c r="AR38" s="406">
        <v>0</v>
      </c>
      <c r="AS38" s="406">
        <v>-14</v>
      </c>
      <c r="AT38" s="406">
        <v>-166</v>
      </c>
      <c r="AU38" s="406">
        <v>311.31957411999997</v>
      </c>
      <c r="AV38" s="406">
        <v>-157.01095585573341</v>
      </c>
      <c r="AW38" s="406">
        <v>0</v>
      </c>
      <c r="AX38" s="406">
        <v>-114</v>
      </c>
      <c r="AY38" s="406">
        <v>-111</v>
      </c>
      <c r="AZ38" s="406">
        <v>33</v>
      </c>
      <c r="BA38" s="406">
        <v>-112.19946055000003</v>
      </c>
      <c r="BB38" s="406">
        <v>-84</v>
      </c>
      <c r="BC38" s="406">
        <v>-183</v>
      </c>
      <c r="BD38" s="105"/>
      <c r="BE38" s="105"/>
    </row>
    <row r="39" spans="1:57" ht="18" customHeight="1">
      <c r="A39" s="2"/>
      <c r="B39" s="159" t="s">
        <v>308</v>
      </c>
      <c r="C39" s="159"/>
      <c r="D39" s="159"/>
      <c r="E39" s="406"/>
      <c r="F39" s="406"/>
      <c r="G39" s="406"/>
      <c r="H39" s="406"/>
      <c r="I39" s="406"/>
      <c r="J39" s="406">
        <v>0</v>
      </c>
      <c r="K39" s="406">
        <v>0</v>
      </c>
      <c r="L39" s="406">
        <v>0</v>
      </c>
      <c r="M39" s="406">
        <v>0</v>
      </c>
      <c r="N39" s="406">
        <v>589</v>
      </c>
      <c r="O39" s="406">
        <v>1029</v>
      </c>
      <c r="P39" s="406">
        <v>0</v>
      </c>
      <c r="Q39" s="406">
        <v>4000</v>
      </c>
      <c r="R39" s="406">
        <v>3092</v>
      </c>
      <c r="S39" s="406">
        <v>3450</v>
      </c>
      <c r="T39" s="406">
        <v>1100</v>
      </c>
      <c r="U39" s="406">
        <v>0</v>
      </c>
      <c r="V39" s="406">
        <v>0</v>
      </c>
      <c r="W39" s="406">
        <v>1415</v>
      </c>
      <c r="X39" s="406">
        <v>23138</v>
      </c>
      <c r="Y39" s="406">
        <v>58004</v>
      </c>
      <c r="Z39" s="406">
        <v>6134</v>
      </c>
      <c r="AA39" s="406"/>
      <c r="AB39" s="406">
        <v>1028</v>
      </c>
      <c r="AC39" s="406">
        <v>58004</v>
      </c>
      <c r="AD39" s="406">
        <v>0</v>
      </c>
      <c r="AE39" s="406">
        <v>-6403</v>
      </c>
      <c r="AF39" s="406">
        <v>-811</v>
      </c>
      <c r="AG39" s="406">
        <v>-4800</v>
      </c>
      <c r="AH39" s="406">
        <v>-1189</v>
      </c>
      <c r="AI39" s="406">
        <v>1189</v>
      </c>
      <c r="AJ39" s="406">
        <v>0</v>
      </c>
      <c r="AK39" s="406">
        <v>-1345.2128700743192</v>
      </c>
      <c r="AL39" s="406"/>
      <c r="AM39" s="406"/>
      <c r="AN39" s="406"/>
      <c r="AO39" s="406"/>
      <c r="AP39" s="406">
        <v>-75.06188400000002</v>
      </c>
      <c r="AQ39" s="406">
        <v>6.1271169791723423E-2</v>
      </c>
      <c r="AR39" s="406">
        <v>3320</v>
      </c>
      <c r="AS39" s="406">
        <v>2567</v>
      </c>
      <c r="AT39" s="406">
        <v>0</v>
      </c>
      <c r="AU39" s="406"/>
      <c r="AV39" s="406"/>
      <c r="AW39" s="406"/>
      <c r="AX39" s="406"/>
      <c r="AY39" s="406"/>
      <c r="AZ39" s="406"/>
      <c r="BA39" s="406"/>
      <c r="BB39" s="406"/>
      <c r="BC39" s="406"/>
      <c r="BD39" s="2"/>
      <c r="BE39" s="2"/>
    </row>
    <row r="40" spans="1:57" ht="18" customHeight="1">
      <c r="A40" s="2"/>
      <c r="B40" s="159" t="s">
        <v>309</v>
      </c>
      <c r="C40" s="159"/>
      <c r="D40" s="159"/>
      <c r="E40" s="406">
        <v>0</v>
      </c>
      <c r="F40" s="406">
        <v>0</v>
      </c>
      <c r="G40" s="406">
        <v>0</v>
      </c>
      <c r="H40" s="406">
        <v>0</v>
      </c>
      <c r="I40" s="406">
        <v>102.26179783000043</v>
      </c>
      <c r="J40" s="406">
        <v>-2928</v>
      </c>
      <c r="K40" s="406">
        <v>-747</v>
      </c>
      <c r="L40" s="406">
        <v>0</v>
      </c>
      <c r="M40" s="406">
        <v>-2369</v>
      </c>
      <c r="N40" s="406">
        <v>0</v>
      </c>
      <c r="O40" s="406">
        <v>0</v>
      </c>
      <c r="P40" s="406">
        <v>-358</v>
      </c>
      <c r="Q40" s="406">
        <v>0</v>
      </c>
      <c r="R40" s="406">
        <v>0</v>
      </c>
      <c r="S40" s="406">
        <v>-135</v>
      </c>
      <c r="T40" s="406">
        <v>0</v>
      </c>
      <c r="U40" s="406">
        <v>0</v>
      </c>
      <c r="V40" s="406">
        <v>-283</v>
      </c>
      <c r="W40" s="406">
        <v>0</v>
      </c>
      <c r="X40" s="406">
        <v>0</v>
      </c>
      <c r="Y40" s="406">
        <v>0</v>
      </c>
      <c r="Z40" s="406">
        <v>0</v>
      </c>
      <c r="AA40" s="406">
        <v>-16764</v>
      </c>
      <c r="AB40" s="406">
        <v>-1468</v>
      </c>
      <c r="AC40" s="406">
        <v>0</v>
      </c>
      <c r="AD40" s="406">
        <v>0</v>
      </c>
      <c r="AE40" s="406">
        <v>0</v>
      </c>
      <c r="AF40" s="406">
        <v>0</v>
      </c>
      <c r="AG40" s="406"/>
      <c r="AH40" s="406"/>
      <c r="AI40" s="406"/>
      <c r="AJ40" s="406"/>
      <c r="AK40" s="406"/>
      <c r="AL40" s="406"/>
      <c r="AM40" s="406"/>
      <c r="AN40" s="406"/>
      <c r="AO40" s="406"/>
      <c r="AP40" s="406"/>
      <c r="AQ40" s="406"/>
      <c r="AR40" s="406"/>
      <c r="AS40" s="406"/>
      <c r="AT40" s="406"/>
      <c r="AU40" s="406"/>
      <c r="AV40" s="406"/>
      <c r="AW40" s="406"/>
      <c r="AX40" s="406"/>
      <c r="AY40" s="406"/>
      <c r="AZ40" s="406"/>
      <c r="BA40" s="406">
        <v>-6428</v>
      </c>
      <c r="BB40" s="406">
        <v>-66.947524999999999</v>
      </c>
      <c r="BC40" s="406">
        <v>66.947524999999999</v>
      </c>
      <c r="BD40" s="2"/>
      <c r="BE40" s="2"/>
    </row>
    <row r="41" spans="1:57" ht="18" customHeight="1">
      <c r="A41" s="2"/>
      <c r="B41" s="159" t="s">
        <v>310</v>
      </c>
      <c r="C41" s="159"/>
      <c r="D41" s="159"/>
      <c r="E41" s="406">
        <v>2543</v>
      </c>
      <c r="F41" s="406">
        <v>0</v>
      </c>
      <c r="G41" s="406">
        <v>0</v>
      </c>
      <c r="H41" s="406">
        <v>0</v>
      </c>
      <c r="I41" s="406">
        <v>0</v>
      </c>
      <c r="J41" s="406">
        <v>-8009</v>
      </c>
      <c r="K41" s="406">
        <v>0</v>
      </c>
      <c r="L41" s="406">
        <v>0</v>
      </c>
      <c r="M41" s="406">
        <v>0</v>
      </c>
      <c r="N41" s="406">
        <v>0</v>
      </c>
      <c r="O41" s="406">
        <v>0</v>
      </c>
      <c r="P41" s="406">
        <v>0</v>
      </c>
      <c r="Q41" s="406">
        <v>1021</v>
      </c>
      <c r="R41" s="406">
        <v>0</v>
      </c>
      <c r="S41" s="406">
        <v>0</v>
      </c>
      <c r="T41" s="406">
        <v>0</v>
      </c>
      <c r="U41" s="406">
        <v>0</v>
      </c>
      <c r="V41" s="406">
        <v>39611</v>
      </c>
      <c r="W41" s="406">
        <v>20419</v>
      </c>
      <c r="X41" s="406">
        <v>-426</v>
      </c>
      <c r="Y41" s="406">
        <v>0</v>
      </c>
      <c r="Z41" s="406">
        <v>0</v>
      </c>
      <c r="AA41" s="406"/>
      <c r="AB41" s="406">
        <v>0</v>
      </c>
      <c r="AC41" s="406">
        <v>0</v>
      </c>
      <c r="AD41" s="406">
        <v>6933</v>
      </c>
      <c r="AE41" s="406">
        <v>0</v>
      </c>
      <c r="AF41" s="406">
        <v>0</v>
      </c>
      <c r="AG41" s="406"/>
      <c r="AH41" s="406"/>
      <c r="AI41" s="406"/>
      <c r="AJ41" s="406"/>
      <c r="AK41" s="406"/>
      <c r="AL41" s="406"/>
      <c r="AM41" s="406"/>
      <c r="AN41" s="406"/>
      <c r="AO41" s="406"/>
      <c r="AP41" s="406"/>
      <c r="AQ41" s="406"/>
      <c r="AR41" s="406"/>
      <c r="AS41" s="406"/>
      <c r="AT41" s="406"/>
      <c r="AU41" s="406"/>
      <c r="AV41" s="406"/>
      <c r="AW41" s="406"/>
      <c r="AX41" s="406"/>
      <c r="AY41" s="406"/>
      <c r="AZ41" s="406"/>
      <c r="BA41" s="406">
        <v>0</v>
      </c>
      <c r="BB41" s="406"/>
      <c r="BC41" s="406">
        <v>-68.947524999999999</v>
      </c>
      <c r="BD41" s="2"/>
      <c r="BE41" s="2"/>
    </row>
    <row r="42" spans="1:57" ht="18" customHeight="1">
      <c r="A42" s="2"/>
      <c r="B42" s="159" t="s">
        <v>311</v>
      </c>
      <c r="C42" s="159"/>
      <c r="D42" s="159"/>
      <c r="E42" s="406"/>
      <c r="F42" s="406"/>
      <c r="G42" s="406"/>
      <c r="H42" s="406"/>
      <c r="I42" s="406"/>
      <c r="J42" s="406"/>
      <c r="K42" s="406"/>
      <c r="L42" s="406"/>
      <c r="M42" s="406"/>
      <c r="N42" s="406"/>
      <c r="O42" s="406">
        <v>0</v>
      </c>
      <c r="P42" s="406">
        <v>0</v>
      </c>
      <c r="Q42" s="406">
        <v>0</v>
      </c>
      <c r="R42" s="406">
        <v>7346</v>
      </c>
      <c r="S42" s="406">
        <v>36298</v>
      </c>
      <c r="T42" s="406">
        <v>12723</v>
      </c>
      <c r="U42" s="406">
        <v>454</v>
      </c>
      <c r="V42" s="406">
        <v>120</v>
      </c>
      <c r="W42" s="406">
        <v>5290</v>
      </c>
      <c r="X42" s="406">
        <v>1212</v>
      </c>
      <c r="Y42" s="406">
        <v>498</v>
      </c>
      <c r="Z42" s="406">
        <v>1840</v>
      </c>
      <c r="AA42" s="406">
        <v>92</v>
      </c>
      <c r="AB42" s="406">
        <v>1858</v>
      </c>
      <c r="AC42" s="406">
        <v>498</v>
      </c>
      <c r="AD42" s="406">
        <v>0</v>
      </c>
      <c r="AE42" s="406">
        <v>2870</v>
      </c>
      <c r="AF42" s="406">
        <v>78</v>
      </c>
      <c r="AG42" s="406"/>
      <c r="AH42" s="406"/>
      <c r="AI42" s="406"/>
      <c r="AJ42" s="406"/>
      <c r="AK42" s="406"/>
      <c r="AL42" s="406"/>
      <c r="AM42" s="406"/>
      <c r="AN42" s="406"/>
      <c r="AO42" s="406"/>
      <c r="AP42" s="406"/>
      <c r="AQ42" s="406"/>
      <c r="AR42" s="406"/>
      <c r="AS42" s="406"/>
      <c r="AT42" s="406"/>
      <c r="AU42" s="406"/>
      <c r="AV42" s="406"/>
      <c r="AW42" s="406"/>
      <c r="AX42" s="406"/>
      <c r="AY42" s="406"/>
      <c r="AZ42" s="406"/>
      <c r="BA42" s="406">
        <v>69</v>
      </c>
      <c r="BB42" s="406"/>
      <c r="BC42" s="406"/>
      <c r="BD42" s="2"/>
      <c r="BE42" s="2"/>
    </row>
    <row r="43" spans="1:57" ht="18" customHeight="1">
      <c r="A43" s="2"/>
      <c r="B43" s="159" t="s">
        <v>312</v>
      </c>
      <c r="C43" s="159"/>
      <c r="D43" s="159"/>
      <c r="E43" s="406">
        <v>-0.35419357810002339</v>
      </c>
      <c r="F43" s="406">
        <v>-9280.7119199999997</v>
      </c>
      <c r="G43" s="406">
        <v>3378.5483071009999</v>
      </c>
      <c r="H43" s="406">
        <v>0</v>
      </c>
      <c r="I43" s="406">
        <v>0</v>
      </c>
      <c r="J43" s="406">
        <v>0</v>
      </c>
      <c r="K43" s="406">
        <v>0</v>
      </c>
      <c r="L43" s="406">
        <v>-2</v>
      </c>
      <c r="M43" s="406">
        <v>0</v>
      </c>
      <c r="N43" s="406">
        <v>-10</v>
      </c>
      <c r="O43" s="406"/>
      <c r="P43" s="406"/>
      <c r="Q43" s="406"/>
      <c r="R43" s="406"/>
      <c r="S43" s="406"/>
      <c r="T43" s="406">
        <v>0</v>
      </c>
      <c r="U43" s="406">
        <v>0</v>
      </c>
      <c r="V43" s="406">
        <v>0</v>
      </c>
      <c r="W43" s="406">
        <v>0</v>
      </c>
      <c r="X43" s="406">
        <v>0</v>
      </c>
      <c r="Y43" s="406">
        <v>-250</v>
      </c>
      <c r="Z43" s="406">
        <v>0</v>
      </c>
      <c r="AA43" s="406"/>
      <c r="AB43" s="406">
        <v>0</v>
      </c>
      <c r="AC43" s="406">
        <v>-250</v>
      </c>
      <c r="AD43" s="406">
        <v>103</v>
      </c>
      <c r="AE43" s="406">
        <v>-60</v>
      </c>
      <c r="AF43" s="406">
        <v>0</v>
      </c>
      <c r="AG43" s="406"/>
      <c r="AH43" s="406"/>
      <c r="AI43" s="406">
        <v>2.4995086242593061</v>
      </c>
      <c r="AJ43" s="406">
        <v>-2133.5803996121849</v>
      </c>
      <c r="AK43" s="406">
        <v>-25.373137798710104</v>
      </c>
      <c r="AL43" s="406">
        <v>-3317.0598763449998</v>
      </c>
      <c r="AM43" s="406">
        <v>5.6314454794855919</v>
      </c>
      <c r="AN43" s="406"/>
      <c r="AO43" s="406"/>
      <c r="AP43" s="406">
        <v>0</v>
      </c>
      <c r="AQ43" s="406">
        <v>0</v>
      </c>
      <c r="AR43" s="406">
        <v>-919</v>
      </c>
      <c r="AS43" s="406">
        <v>-25289</v>
      </c>
      <c r="AT43" s="406">
        <v>-8106</v>
      </c>
      <c r="AU43" s="406"/>
      <c r="AV43" s="406"/>
      <c r="AW43" s="406"/>
      <c r="AX43" s="406"/>
      <c r="AY43" s="406"/>
      <c r="AZ43" s="406"/>
      <c r="BA43" s="406"/>
      <c r="BB43" s="406">
        <v>-8638</v>
      </c>
      <c r="BC43" s="406">
        <v>-150</v>
      </c>
      <c r="BD43" s="2"/>
      <c r="BE43" s="2"/>
    </row>
    <row r="44" spans="1:57" ht="18" customHeight="1">
      <c r="A44" s="2"/>
      <c r="B44" s="159" t="s">
        <v>313</v>
      </c>
      <c r="C44" s="159"/>
      <c r="D44" s="159"/>
      <c r="E44" s="406"/>
      <c r="F44" s="406"/>
      <c r="G44" s="406"/>
      <c r="H44" s="406"/>
      <c r="I44" s="406"/>
      <c r="J44" s="406">
        <v>0</v>
      </c>
      <c r="K44" s="406">
        <v>0</v>
      </c>
      <c r="L44" s="406">
        <v>0</v>
      </c>
      <c r="M44" s="406">
        <v>0</v>
      </c>
      <c r="N44" s="406">
        <v>0</v>
      </c>
      <c r="O44" s="406">
        <v>0</v>
      </c>
      <c r="P44" s="406">
        <v>87</v>
      </c>
      <c r="Q44" s="406">
        <v>0</v>
      </c>
      <c r="R44" s="406">
        <v>0</v>
      </c>
      <c r="S44" s="406">
        <v>0</v>
      </c>
      <c r="T44" s="406">
        <v>0</v>
      </c>
      <c r="U44" s="406">
        <v>55</v>
      </c>
      <c r="V44" s="406">
        <v>0</v>
      </c>
      <c r="W44" s="406">
        <v>447</v>
      </c>
      <c r="X44" s="406">
        <v>0</v>
      </c>
      <c r="Y44" s="406">
        <v>0</v>
      </c>
      <c r="Z44" s="406">
        <v>0</v>
      </c>
      <c r="AA44" s="406"/>
      <c r="AB44" s="406">
        <v>0</v>
      </c>
      <c r="AC44" s="406">
        <v>0</v>
      </c>
      <c r="AD44" s="406">
        <v>0</v>
      </c>
      <c r="AE44" s="406"/>
      <c r="AF44" s="406"/>
      <c r="AG44" s="406"/>
      <c r="AH44" s="406"/>
      <c r="AI44" s="406"/>
      <c r="AJ44" s="406"/>
      <c r="AK44" s="406"/>
      <c r="AL44" s="406"/>
      <c r="AM44" s="406"/>
      <c r="AN44" s="406"/>
      <c r="AO44" s="406"/>
      <c r="AP44" s="406"/>
      <c r="AQ44" s="406"/>
      <c r="AR44" s="406"/>
      <c r="AS44" s="406"/>
      <c r="AT44" s="406"/>
      <c r="AU44" s="406"/>
      <c r="AV44" s="406"/>
      <c r="AW44" s="406"/>
      <c r="AX44" s="406"/>
      <c r="AY44" s="406"/>
      <c r="AZ44" s="406"/>
      <c r="BA44" s="406"/>
      <c r="BB44" s="406"/>
      <c r="BC44" s="406"/>
      <c r="BD44" s="2"/>
      <c r="BE44" s="2"/>
    </row>
    <row r="45" spans="1:57" ht="18" customHeight="1">
      <c r="A45" s="2"/>
      <c r="B45" s="159" t="s">
        <v>314</v>
      </c>
      <c r="C45" s="159"/>
      <c r="D45" s="159"/>
      <c r="E45" s="406">
        <v>-49.749947865027934</v>
      </c>
      <c r="F45" s="406">
        <v>-60.43771299999753</v>
      </c>
      <c r="G45" s="406">
        <v>-39.713068000004206</v>
      </c>
      <c r="H45" s="406">
        <v>0</v>
      </c>
      <c r="I45" s="406">
        <v>-30.376922999999806</v>
      </c>
      <c r="J45" s="406">
        <v>286</v>
      </c>
      <c r="K45" s="406">
        <v>-30505</v>
      </c>
      <c r="L45" s="406">
        <v>-60</v>
      </c>
      <c r="M45" s="406">
        <v>100</v>
      </c>
      <c r="N45" s="406">
        <v>-65</v>
      </c>
      <c r="O45" s="406">
        <v>-89</v>
      </c>
      <c r="P45" s="406">
        <v>0</v>
      </c>
      <c r="Q45" s="406">
        <v>0</v>
      </c>
      <c r="R45" s="406">
        <v>0</v>
      </c>
      <c r="S45" s="406">
        <v>0</v>
      </c>
      <c r="T45" s="406">
        <v>-19</v>
      </c>
      <c r="U45" s="406">
        <v>0</v>
      </c>
      <c r="V45" s="406">
        <v>0</v>
      </c>
      <c r="W45" s="406">
        <v>0</v>
      </c>
      <c r="X45" s="406">
        <v>0</v>
      </c>
      <c r="Y45" s="406">
        <v>0</v>
      </c>
      <c r="Z45" s="406">
        <v>0</v>
      </c>
      <c r="AA45" s="406"/>
      <c r="AB45" s="406">
        <v>0</v>
      </c>
      <c r="AC45" s="406">
        <v>0</v>
      </c>
      <c r="AD45" s="406">
        <v>0</v>
      </c>
      <c r="AE45" s="406"/>
      <c r="AF45" s="406"/>
      <c r="AG45" s="406"/>
      <c r="AH45" s="406">
        <v>-2605</v>
      </c>
      <c r="AI45" s="406"/>
      <c r="AJ45" s="406"/>
      <c r="AK45" s="406"/>
      <c r="AL45" s="406"/>
      <c r="AM45" s="406"/>
      <c r="AN45" s="406"/>
      <c r="AO45" s="406"/>
      <c r="AP45" s="406"/>
      <c r="AQ45" s="406"/>
      <c r="AR45" s="406"/>
      <c r="AS45" s="406"/>
      <c r="AT45" s="406"/>
      <c r="AU45" s="406"/>
      <c r="AV45" s="406"/>
      <c r="AW45" s="406"/>
      <c r="AX45" s="406"/>
      <c r="AY45" s="406"/>
      <c r="AZ45" s="406"/>
      <c r="BA45" s="406"/>
      <c r="BB45" s="406"/>
      <c r="BC45" s="406"/>
      <c r="BD45" s="2"/>
      <c r="BE45" s="2"/>
    </row>
    <row r="46" spans="1:57" ht="18" customHeight="1">
      <c r="A46" s="2"/>
      <c r="B46" s="157" t="s">
        <v>315</v>
      </c>
      <c r="C46" s="157"/>
      <c r="D46" s="157"/>
      <c r="E46" s="406"/>
      <c r="F46" s="406"/>
      <c r="G46" s="406"/>
      <c r="H46" s="406"/>
      <c r="I46" s="406"/>
      <c r="J46" s="406"/>
      <c r="K46" s="406"/>
      <c r="L46" s="406"/>
      <c r="M46" s="406"/>
      <c r="N46" s="406"/>
      <c r="O46" s="406">
        <v>-89</v>
      </c>
      <c r="P46" s="406">
        <v>0</v>
      </c>
      <c r="Q46" s="406">
        <v>0</v>
      </c>
      <c r="R46" s="406">
        <v>0</v>
      </c>
      <c r="S46" s="406">
        <v>0</v>
      </c>
      <c r="T46" s="406">
        <v>14</v>
      </c>
      <c r="U46" s="406">
        <v>0</v>
      </c>
      <c r="V46" s="406">
        <v>0</v>
      </c>
      <c r="W46" s="406">
        <v>0</v>
      </c>
      <c r="X46" s="406">
        <v>0</v>
      </c>
      <c r="Y46" s="406">
        <v>0</v>
      </c>
      <c r="Z46" s="406">
        <v>0</v>
      </c>
      <c r="AA46" s="406"/>
      <c r="AB46" s="406">
        <v>0</v>
      </c>
      <c r="AC46" s="406">
        <v>0</v>
      </c>
      <c r="AD46" s="406">
        <v>0</v>
      </c>
      <c r="AE46" s="406"/>
      <c r="AF46" s="406"/>
      <c r="AG46" s="406"/>
      <c r="AH46" s="406"/>
      <c r="AI46" s="406"/>
      <c r="AJ46" s="406"/>
      <c r="AK46" s="406"/>
      <c r="AL46" s="406">
        <v>4200</v>
      </c>
      <c r="AM46" s="406"/>
      <c r="AN46" s="406"/>
      <c r="AO46" s="406"/>
      <c r="AP46" s="406"/>
      <c r="AQ46" s="406">
        <v>8</v>
      </c>
      <c r="AR46" s="406"/>
      <c r="AS46" s="406"/>
      <c r="AT46" s="406"/>
      <c r="AU46" s="406"/>
      <c r="AV46" s="406"/>
      <c r="AW46" s="406"/>
      <c r="AX46" s="406"/>
      <c r="AY46" s="406"/>
      <c r="AZ46" s="406"/>
      <c r="BA46" s="406"/>
      <c r="BB46" s="406"/>
      <c r="BC46" s="406"/>
      <c r="BD46" s="2"/>
      <c r="BE46" s="2"/>
    </row>
    <row r="47" spans="1:57" ht="18" customHeight="1">
      <c r="A47" s="2"/>
      <c r="B47" s="157" t="s">
        <v>299</v>
      </c>
      <c r="C47" s="157"/>
      <c r="D47" s="157"/>
      <c r="E47" s="406"/>
      <c r="F47" s="406"/>
      <c r="G47" s="406"/>
      <c r="H47" s="406"/>
      <c r="I47" s="406"/>
      <c r="J47" s="406">
        <v>324.194592</v>
      </c>
      <c r="K47" s="406">
        <v>104.59427699999998</v>
      </c>
      <c r="L47" s="406">
        <v>233.03575899999993</v>
      </c>
      <c r="M47" s="406">
        <v>236.17537200000021</v>
      </c>
      <c r="N47" s="406">
        <v>267</v>
      </c>
      <c r="O47" s="406"/>
      <c r="P47" s="406"/>
      <c r="Q47" s="406"/>
      <c r="R47" s="406"/>
      <c r="S47" s="406"/>
      <c r="T47" s="406">
        <v>59</v>
      </c>
      <c r="U47" s="406">
        <v>59</v>
      </c>
      <c r="V47" s="406">
        <v>61</v>
      </c>
      <c r="W47" s="406">
        <v>62</v>
      </c>
      <c r="X47" s="406">
        <v>62</v>
      </c>
      <c r="Y47" s="406">
        <v>94</v>
      </c>
      <c r="Z47" s="406">
        <v>86</v>
      </c>
      <c r="AA47" s="406">
        <v>109</v>
      </c>
      <c r="AB47" s="406">
        <v>92</v>
      </c>
      <c r="AC47" s="406">
        <v>94</v>
      </c>
      <c r="AD47" s="406">
        <v>11331</v>
      </c>
      <c r="AE47" s="406">
        <v>55</v>
      </c>
      <c r="AF47" s="406">
        <v>54</v>
      </c>
      <c r="AG47" s="406">
        <v>53</v>
      </c>
      <c r="AH47" s="406">
        <v>0</v>
      </c>
      <c r="AI47" s="406">
        <v>0</v>
      </c>
      <c r="AJ47" s="406">
        <v>0</v>
      </c>
      <c r="AK47" s="406">
        <v>1207.8378429007398</v>
      </c>
      <c r="AL47" s="406">
        <v>2240.1712552319032</v>
      </c>
      <c r="AM47" s="406">
        <v>299.45433773108243</v>
      </c>
      <c r="AN47" s="406"/>
      <c r="AO47" s="406"/>
      <c r="AP47" s="406"/>
      <c r="AQ47" s="406"/>
      <c r="AR47" s="406"/>
      <c r="AS47" s="406"/>
      <c r="AT47" s="406">
        <v>13985</v>
      </c>
      <c r="AU47" s="406"/>
      <c r="AW47" s="406">
        <v>7</v>
      </c>
      <c r="AX47" s="406">
        <v>0</v>
      </c>
      <c r="AY47" s="406">
        <v>463</v>
      </c>
      <c r="AZ47" s="406">
        <v>609</v>
      </c>
      <c r="BA47" s="406"/>
      <c r="BB47" s="406">
        <v>1085</v>
      </c>
      <c r="BC47" s="406">
        <v>0</v>
      </c>
      <c r="BD47" s="2"/>
      <c r="BE47" s="2"/>
    </row>
    <row r="48" spans="1:57" ht="18" customHeight="1">
      <c r="A48" s="2"/>
      <c r="B48" s="157" t="s">
        <v>316</v>
      </c>
      <c r="C48" s="157"/>
      <c r="D48" s="157"/>
      <c r="E48" s="407">
        <v>16</v>
      </c>
      <c r="F48" s="407">
        <v>109</v>
      </c>
      <c r="G48" s="407">
        <v>690.21476857913626</v>
      </c>
      <c r="H48" s="407">
        <v>217.32190767562361</v>
      </c>
      <c r="I48" s="407">
        <v>1404.7611831234542</v>
      </c>
      <c r="J48" s="407">
        <v>1153.8054079999999</v>
      </c>
      <c r="K48" s="407">
        <v>255.40572300000008</v>
      </c>
      <c r="L48" s="407">
        <v>138.96424100000013</v>
      </c>
      <c r="M48" s="407">
        <v>139.82462799999985</v>
      </c>
      <c r="N48" s="407">
        <v>454</v>
      </c>
      <c r="O48" s="407">
        <v>523</v>
      </c>
      <c r="P48" s="407">
        <v>137</v>
      </c>
      <c r="Q48" s="407">
        <v>193</v>
      </c>
      <c r="R48" s="407">
        <v>410</v>
      </c>
      <c r="S48" s="407">
        <v>976</v>
      </c>
      <c r="T48" s="407">
        <v>1774</v>
      </c>
      <c r="U48" s="407">
        <v>501</v>
      </c>
      <c r="V48" s="407">
        <v>1365</v>
      </c>
      <c r="W48" s="407">
        <v>539</v>
      </c>
      <c r="X48" s="407">
        <v>51</v>
      </c>
      <c r="Y48" s="407">
        <v>350</v>
      </c>
      <c r="Z48" s="407">
        <v>2014</v>
      </c>
      <c r="AA48" s="407">
        <v>1279</v>
      </c>
      <c r="AB48" s="407">
        <v>571</v>
      </c>
      <c r="AC48" s="407">
        <v>350</v>
      </c>
      <c r="AD48" s="407">
        <v>932</v>
      </c>
      <c r="AE48" s="407">
        <v>911</v>
      </c>
      <c r="AF48" s="407">
        <v>2608</v>
      </c>
      <c r="AG48" s="407">
        <v>342</v>
      </c>
      <c r="AH48" s="407">
        <v>1620</v>
      </c>
      <c r="AI48" s="407">
        <v>882.25416943066375</v>
      </c>
      <c r="AJ48" s="407">
        <v>1038.1959030387452</v>
      </c>
      <c r="AK48" s="407"/>
      <c r="AL48" s="407"/>
      <c r="AM48" s="407"/>
      <c r="AN48" s="407"/>
      <c r="AO48" s="407"/>
      <c r="AP48" s="407">
        <v>392.03663445458119</v>
      </c>
      <c r="AQ48" s="407">
        <v>401.06620752592607</v>
      </c>
      <c r="AR48" s="407">
        <v>581.43180340527647</v>
      </c>
      <c r="AS48" s="407">
        <v>2678</v>
      </c>
      <c r="AT48" s="407">
        <v>699.63702566229358</v>
      </c>
      <c r="AU48" s="407">
        <v>760</v>
      </c>
      <c r="AV48" s="407">
        <v>1189.0564285232608</v>
      </c>
      <c r="AW48" s="407">
        <v>859</v>
      </c>
      <c r="AX48" s="407">
        <v>1041</v>
      </c>
      <c r="AY48" s="407">
        <v>1120</v>
      </c>
      <c r="AZ48" s="407">
        <v>2367.4056053348554</v>
      </c>
      <c r="BA48" s="407">
        <v>1142.2489800609051</v>
      </c>
      <c r="BB48" s="407">
        <v>1839.0192429857975</v>
      </c>
      <c r="BC48" s="407">
        <v>817.05295889591162</v>
      </c>
      <c r="BD48" s="2"/>
      <c r="BE48" s="2"/>
    </row>
    <row r="49" spans="1:57" ht="8.25" customHeight="1">
      <c r="A49" s="2"/>
      <c r="B49" s="157"/>
      <c r="C49" s="157"/>
      <c r="D49" s="157"/>
      <c r="E49" s="406"/>
      <c r="F49" s="406"/>
      <c r="G49" s="406"/>
      <c r="H49" s="406"/>
      <c r="I49" s="406"/>
      <c r="J49" s="406"/>
      <c r="K49" s="406"/>
      <c r="L49" s="406"/>
      <c r="M49" s="406"/>
      <c r="N49" s="406"/>
      <c r="O49" s="406"/>
      <c r="P49" s="406"/>
      <c r="Q49" s="406"/>
      <c r="R49" s="406"/>
      <c r="S49" s="406"/>
      <c r="T49" s="406"/>
      <c r="U49" s="406"/>
      <c r="V49" s="406"/>
      <c r="W49" s="406"/>
      <c r="X49" s="406"/>
      <c r="Y49" s="406"/>
      <c r="Z49" s="406"/>
      <c r="AA49" s="406"/>
      <c r="AB49" s="406"/>
      <c r="AC49" s="406"/>
      <c r="AD49" s="406"/>
      <c r="AE49" s="406"/>
      <c r="AF49" s="406"/>
      <c r="AG49" s="406"/>
      <c r="AH49" s="406"/>
      <c r="AI49" s="406"/>
      <c r="AJ49" s="406"/>
      <c r="AK49" s="406"/>
      <c r="AL49" s="406"/>
      <c r="AM49" s="406"/>
      <c r="AN49" s="406"/>
      <c r="AO49" s="406"/>
      <c r="AP49" s="406"/>
      <c r="AQ49" s="406"/>
      <c r="AR49" s="406"/>
      <c r="AS49" s="406"/>
      <c r="AT49" s="406"/>
      <c r="AU49" s="406"/>
      <c r="AV49" s="406"/>
      <c r="AW49" s="406"/>
      <c r="AX49" s="406"/>
      <c r="AY49" s="406"/>
      <c r="AZ49" s="406"/>
      <c r="BA49" s="406"/>
      <c r="BB49" s="406"/>
      <c r="BC49" s="406"/>
      <c r="BD49" s="2"/>
      <c r="BE49" s="2"/>
    </row>
    <row r="50" spans="1:57" s="30" customFormat="1" ht="18" customHeight="1">
      <c r="A50" s="13"/>
      <c r="B50" s="165" t="s">
        <v>317</v>
      </c>
      <c r="C50" s="165"/>
      <c r="D50" s="165"/>
      <c r="E50" s="405">
        <v>-25086.858324212113</v>
      </c>
      <c r="F50" s="405">
        <v>-52858.117637041032</v>
      </c>
      <c r="G50" s="405">
        <v>-15097.623571535421</v>
      </c>
      <c r="H50" s="405">
        <v>-87215.401341534598</v>
      </c>
      <c r="I50" s="405">
        <v>-33884.923167706547</v>
      </c>
      <c r="J50" s="405">
        <v>-100147</v>
      </c>
      <c r="K50" s="405">
        <v>-47967</v>
      </c>
      <c r="L50" s="405">
        <v>-49219</v>
      </c>
      <c r="M50" s="405">
        <v>-52400</v>
      </c>
      <c r="N50" s="405">
        <v>-50843</v>
      </c>
      <c r="O50" s="405">
        <v>-30659</v>
      </c>
      <c r="P50" s="405">
        <v>-32978</v>
      </c>
      <c r="Q50" s="405">
        <v>-106001</v>
      </c>
      <c r="R50" s="405">
        <v>-96549</v>
      </c>
      <c r="S50" s="405">
        <v>2094</v>
      </c>
      <c r="T50" s="405">
        <v>-1305</v>
      </c>
      <c r="U50" s="405">
        <v>-47883</v>
      </c>
      <c r="V50" s="405">
        <v>-96309</v>
      </c>
      <c r="W50" s="405">
        <v>-24125</v>
      </c>
      <c r="X50" s="405">
        <v>-156412</v>
      </c>
      <c r="Y50" s="405">
        <v>-38708</v>
      </c>
      <c r="Z50" s="405">
        <v>-44313</v>
      </c>
      <c r="AA50" s="405">
        <v>-66459</v>
      </c>
      <c r="AB50" s="405">
        <v>-96092</v>
      </c>
      <c r="AC50" s="405">
        <v>-38708</v>
      </c>
      <c r="AD50" s="405">
        <v>-65019</v>
      </c>
      <c r="AE50" s="405">
        <v>-84156</v>
      </c>
      <c r="AF50" s="405">
        <v>-65211</v>
      </c>
      <c r="AG50" s="405">
        <v>-70687</v>
      </c>
      <c r="AH50" s="405">
        <v>-69950</v>
      </c>
      <c r="AI50" s="405">
        <v>-43460</v>
      </c>
      <c r="AJ50" s="405">
        <v>-189945</v>
      </c>
      <c r="AK50" s="405">
        <v>-1864</v>
      </c>
      <c r="AL50" s="405">
        <v>-49250</v>
      </c>
      <c r="AM50" s="405">
        <v>-6146</v>
      </c>
      <c r="AN50" s="405">
        <v>-32619</v>
      </c>
      <c r="AO50" s="405">
        <v>-180868</v>
      </c>
      <c r="AP50" s="405">
        <v>-20028</v>
      </c>
      <c r="AQ50" s="405">
        <v>-141570</v>
      </c>
      <c r="AR50" s="405">
        <v>-136881</v>
      </c>
      <c r="AS50" s="405">
        <v>-120214</v>
      </c>
      <c r="AT50" s="405">
        <v>-56813</v>
      </c>
      <c r="AU50" s="405">
        <v>-127699</v>
      </c>
      <c r="AV50" s="405">
        <v>-138866</v>
      </c>
      <c r="AW50" s="405">
        <v>-67424</v>
      </c>
      <c r="AX50" s="405">
        <v>-158381</v>
      </c>
      <c r="AY50" s="405">
        <v>-85391</v>
      </c>
      <c r="AZ50" s="405">
        <v>-151962.16074340837</v>
      </c>
      <c r="BA50" s="405">
        <v>-106304.77887878462</v>
      </c>
      <c r="BB50" s="405">
        <v>-148008</v>
      </c>
      <c r="BC50" s="405">
        <v>-144263</v>
      </c>
      <c r="BD50" s="13"/>
      <c r="BE50" s="13"/>
    </row>
    <row r="51" spans="1:57" ht="18" customHeight="1">
      <c r="A51" s="2"/>
      <c r="B51" s="157"/>
      <c r="C51" s="157"/>
      <c r="D51" s="157"/>
      <c r="E51" s="406"/>
      <c r="F51" s="406"/>
      <c r="G51" s="406"/>
      <c r="H51" s="406"/>
      <c r="I51" s="406"/>
      <c r="J51" s="406"/>
      <c r="K51" s="406"/>
      <c r="L51" s="406"/>
      <c r="M51" s="406"/>
      <c r="N51" s="406"/>
      <c r="O51" s="406"/>
      <c r="P51" s="406"/>
      <c r="Q51" s="406"/>
      <c r="R51" s="406"/>
      <c r="S51" s="406"/>
      <c r="T51" s="406"/>
      <c r="U51" s="406"/>
      <c r="V51" s="406"/>
      <c r="W51" s="406"/>
      <c r="X51" s="406"/>
      <c r="Y51" s="406"/>
      <c r="Z51" s="406"/>
      <c r="AA51" s="406"/>
      <c r="AB51" s="406"/>
      <c r="AC51" s="406"/>
      <c r="AD51" s="406"/>
      <c r="AE51" s="406"/>
      <c r="AF51" s="406"/>
      <c r="AG51" s="406"/>
      <c r="AH51" s="406"/>
      <c r="AI51" s="406"/>
      <c r="AJ51" s="406"/>
      <c r="AK51" s="406"/>
      <c r="AL51" s="406"/>
      <c r="AM51" s="406"/>
      <c r="AN51" s="406"/>
      <c r="AO51" s="406"/>
      <c r="AP51" s="406"/>
      <c r="AQ51" s="406"/>
      <c r="AR51" s="406"/>
      <c r="AS51" s="406"/>
      <c r="AT51" s="406"/>
      <c r="AU51" s="406"/>
      <c r="AV51" s="406"/>
      <c r="AW51" s="406"/>
      <c r="AX51" s="406"/>
      <c r="AY51" s="406"/>
      <c r="AZ51" s="406"/>
      <c r="BA51" s="406"/>
      <c r="BB51" s="406"/>
      <c r="BC51" s="406"/>
      <c r="BD51" s="2"/>
      <c r="BE51" s="2"/>
    </row>
    <row r="52" spans="1:57" ht="18" customHeight="1">
      <c r="A52" s="2"/>
      <c r="B52" s="163" t="s">
        <v>318</v>
      </c>
      <c r="C52" s="163"/>
      <c r="D52" s="163"/>
      <c r="E52" s="406"/>
      <c r="F52" s="406"/>
      <c r="G52" s="406"/>
      <c r="H52" s="406"/>
      <c r="I52" s="406"/>
      <c r="J52" s="406"/>
      <c r="K52" s="406"/>
      <c r="L52" s="406"/>
      <c r="M52" s="406"/>
      <c r="N52" s="406"/>
      <c r="O52" s="406"/>
      <c r="P52" s="406"/>
      <c r="Q52" s="406"/>
      <c r="R52" s="406"/>
      <c r="S52" s="406"/>
      <c r="T52" s="406"/>
      <c r="U52" s="406"/>
      <c r="V52" s="406"/>
      <c r="W52" s="406"/>
      <c r="X52" s="406"/>
      <c r="Y52" s="406"/>
      <c r="Z52" s="406"/>
      <c r="AA52" s="406"/>
      <c r="AB52" s="406"/>
      <c r="AC52" s="406"/>
      <c r="AD52" s="406"/>
      <c r="AE52" s="406"/>
      <c r="AF52" s="408"/>
      <c r="AG52" s="408"/>
      <c r="AH52" s="406"/>
      <c r="AI52" s="406"/>
      <c r="AJ52" s="406"/>
      <c r="AK52" s="408"/>
      <c r="AL52" s="408"/>
      <c r="AM52" s="408"/>
      <c r="AN52" s="408"/>
      <c r="AO52" s="408"/>
      <c r="AP52" s="408"/>
      <c r="AQ52" s="408"/>
      <c r="AR52" s="408"/>
      <c r="AS52" s="408"/>
      <c r="AT52" s="408"/>
      <c r="AU52" s="408"/>
      <c r="AV52" s="408"/>
      <c r="AW52" s="408"/>
      <c r="AX52" s="408"/>
      <c r="AY52" s="408"/>
      <c r="AZ52" s="408"/>
      <c r="BA52" s="408"/>
      <c r="BB52" s="408"/>
      <c r="BC52" s="408"/>
      <c r="BD52" s="2"/>
      <c r="BE52" s="2"/>
    </row>
    <row r="53" spans="1:57" ht="8.25" customHeight="1">
      <c r="A53" s="2"/>
      <c r="B53" s="157"/>
      <c r="C53" s="157"/>
      <c r="D53" s="157"/>
      <c r="E53" s="406"/>
      <c r="F53" s="406"/>
      <c r="G53" s="406"/>
      <c r="H53" s="406"/>
      <c r="I53" s="406"/>
      <c r="J53" s="406"/>
      <c r="K53" s="406"/>
      <c r="L53" s="406"/>
      <c r="M53" s="406"/>
      <c r="N53" s="406"/>
      <c r="O53" s="406"/>
      <c r="P53" s="406"/>
      <c r="Q53" s="406"/>
      <c r="R53" s="406"/>
      <c r="S53" s="406"/>
      <c r="T53" s="406"/>
      <c r="U53" s="406"/>
      <c r="V53" s="406"/>
      <c r="W53" s="406"/>
      <c r="X53" s="406"/>
      <c r="Y53" s="406"/>
      <c r="Z53" s="406"/>
      <c r="AA53" s="406"/>
      <c r="AB53" s="406"/>
      <c r="AC53" s="406"/>
      <c r="AD53" s="406"/>
      <c r="AE53" s="406"/>
      <c r="AF53" s="406"/>
      <c r="AG53" s="406"/>
      <c r="AH53" s="406"/>
      <c r="AI53" s="406"/>
      <c r="AJ53" s="406"/>
      <c r="AK53" s="406"/>
      <c r="AL53" s="406"/>
      <c r="AM53" s="406"/>
      <c r="AN53" s="406"/>
      <c r="AO53" s="406"/>
      <c r="AP53" s="406"/>
      <c r="AQ53" s="406"/>
      <c r="AR53" s="406"/>
      <c r="AS53" s="406"/>
      <c r="AT53" s="406"/>
      <c r="AU53" s="406"/>
      <c r="AV53" s="406"/>
      <c r="AW53" s="406"/>
      <c r="AX53" s="406"/>
      <c r="AY53" s="406"/>
      <c r="AZ53" s="406"/>
      <c r="BA53" s="406"/>
      <c r="BB53" s="406"/>
      <c r="BC53" s="406"/>
      <c r="BD53" s="2"/>
      <c r="BE53" s="2"/>
    </row>
    <row r="54" spans="1:57" ht="18" customHeight="1">
      <c r="A54" s="2"/>
      <c r="B54" s="160" t="s">
        <v>319</v>
      </c>
      <c r="C54" s="160"/>
      <c r="D54" s="160"/>
      <c r="E54" s="406">
        <v>47057.400042814872</v>
      </c>
      <c r="F54" s="406">
        <v>95448.625330104842</v>
      </c>
      <c r="G54" s="406">
        <v>64819.609641217772</v>
      </c>
      <c r="H54" s="406">
        <v>73705.994982201053</v>
      </c>
      <c r="I54" s="406">
        <v>78825.27105110226</v>
      </c>
      <c r="J54" s="406">
        <v>77593</v>
      </c>
      <c r="K54" s="406">
        <v>22853</v>
      </c>
      <c r="L54" s="406">
        <v>114756</v>
      </c>
      <c r="M54" s="406">
        <v>146013</v>
      </c>
      <c r="N54" s="406">
        <v>179013</v>
      </c>
      <c r="O54" s="406">
        <v>73352</v>
      </c>
      <c r="P54" s="406">
        <v>28508</v>
      </c>
      <c r="Q54" s="406">
        <v>63713</v>
      </c>
      <c r="R54" s="406">
        <v>76322</v>
      </c>
      <c r="S54" s="406">
        <v>60963</v>
      </c>
      <c r="T54" s="406">
        <v>12675</v>
      </c>
      <c r="U54" s="406">
        <v>37305</v>
      </c>
      <c r="V54" s="406">
        <v>44646</v>
      </c>
      <c r="W54" s="406">
        <v>21489</v>
      </c>
      <c r="X54" s="406">
        <v>124276</v>
      </c>
      <c r="Y54" s="406">
        <v>68173</v>
      </c>
      <c r="Z54" s="406">
        <v>21337</v>
      </c>
      <c r="AA54" s="406">
        <v>6659</v>
      </c>
      <c r="AB54" s="406">
        <v>11196</v>
      </c>
      <c r="AC54" s="406">
        <v>68173</v>
      </c>
      <c r="AD54" s="406">
        <v>52862</v>
      </c>
      <c r="AE54" s="406">
        <v>33763</v>
      </c>
      <c r="AF54" s="406">
        <v>0</v>
      </c>
      <c r="AG54" s="406"/>
      <c r="AH54" s="406"/>
      <c r="AI54" s="406">
        <v>52163.416098138725</v>
      </c>
      <c r="AJ54" s="406">
        <v>75315.622292273329</v>
      </c>
      <c r="AK54" s="406"/>
      <c r="AL54" s="406"/>
      <c r="AM54" s="406"/>
      <c r="AN54" s="406"/>
      <c r="AO54" s="406"/>
      <c r="AP54" s="406"/>
      <c r="AQ54" s="406"/>
      <c r="AR54" s="406">
        <v>16379.726858592592</v>
      </c>
      <c r="AS54" s="406">
        <v>22730</v>
      </c>
      <c r="AT54" s="406"/>
      <c r="AU54" s="406"/>
      <c r="AY54" s="406"/>
      <c r="AZ54" s="406"/>
      <c r="BA54" s="406"/>
      <c r="BB54" s="406"/>
      <c r="BC54" s="406"/>
      <c r="BD54" s="2"/>
      <c r="BE54" s="2"/>
    </row>
    <row r="55" spans="1:57" ht="18" customHeight="1">
      <c r="A55" s="2"/>
      <c r="B55" s="160" t="s">
        <v>320</v>
      </c>
      <c r="C55" s="160"/>
      <c r="D55" s="160"/>
      <c r="E55" s="406">
        <v>-60764.865238973725</v>
      </c>
      <c r="F55" s="406">
        <v>-97344.787194122633</v>
      </c>
      <c r="G55" s="406">
        <v>-90743.723903649356</v>
      </c>
      <c r="H55" s="406">
        <v>-58424.496454101682</v>
      </c>
      <c r="I55" s="406">
        <v>-81928.827817766913</v>
      </c>
      <c r="J55" s="406">
        <v>-84698</v>
      </c>
      <c r="K55" s="406">
        <v>-65228</v>
      </c>
      <c r="L55" s="406">
        <v>-106391</v>
      </c>
      <c r="M55" s="406">
        <v>-92108</v>
      </c>
      <c r="N55" s="406">
        <v>-229467</v>
      </c>
      <c r="O55" s="406">
        <v>-110359</v>
      </c>
      <c r="P55" s="406">
        <v>-51623</v>
      </c>
      <c r="Q55" s="406">
        <v>-28876</v>
      </c>
      <c r="R55" s="406">
        <v>-59293</v>
      </c>
      <c r="S55" s="406">
        <v>-156486</v>
      </c>
      <c r="T55" s="406">
        <v>-72652</v>
      </c>
      <c r="U55" s="406">
        <v>-21225</v>
      </c>
      <c r="V55" s="406">
        <v>-71180</v>
      </c>
      <c r="W55" s="406">
        <v>-60004</v>
      </c>
      <c r="X55" s="406">
        <v>-68780</v>
      </c>
      <c r="Y55" s="406">
        <v>-74644</v>
      </c>
      <c r="Z55" s="406">
        <v>-75639</v>
      </c>
      <c r="AA55" s="406">
        <v>-30576</v>
      </c>
      <c r="AB55" s="406">
        <v>-9995</v>
      </c>
      <c r="AC55" s="406">
        <v>-74644</v>
      </c>
      <c r="AD55" s="406"/>
      <c r="AE55" s="406"/>
      <c r="AF55" s="406">
        <v>-62549</v>
      </c>
      <c r="AG55" s="406">
        <v>-4180</v>
      </c>
      <c r="AH55" s="406">
        <v>-105440</v>
      </c>
      <c r="AI55" s="406"/>
      <c r="AJ55" s="406"/>
      <c r="AK55" s="406">
        <v>-84452.043661275355</v>
      </c>
      <c r="AL55" s="406">
        <v>-4292.8965540329955</v>
      </c>
      <c r="AM55" s="406">
        <v>-76170.421984234214</v>
      </c>
      <c r="AN55" s="406"/>
      <c r="AO55" s="406"/>
      <c r="AP55" s="406">
        <v>-61420.981096695556</v>
      </c>
      <c r="AQ55" s="406">
        <v>-60114.971891604975</v>
      </c>
      <c r="AR55" s="406"/>
      <c r="AS55" s="406"/>
      <c r="AT55" s="406">
        <v>-27372.987129808615</v>
      </c>
      <c r="AU55" s="406">
        <v>3056.2591261396374</v>
      </c>
      <c r="AV55" s="406">
        <v>20527.515045200555</v>
      </c>
      <c r="AW55" s="406">
        <v>-38362</v>
      </c>
      <c r="AX55" s="406">
        <v>-20742.665706568569</v>
      </c>
      <c r="AY55" s="406">
        <v>891</v>
      </c>
      <c r="AZ55" s="406">
        <v>986.31935794882884</v>
      </c>
      <c r="BA55" s="406">
        <v>-14814.966432452853</v>
      </c>
      <c r="BB55" s="406">
        <v>-32598.953698485217</v>
      </c>
      <c r="BC55" s="406">
        <v>342.1545363193145</v>
      </c>
      <c r="BE55" s="2"/>
    </row>
    <row r="56" spans="1:57" ht="18" customHeight="1">
      <c r="A56" s="2"/>
      <c r="B56" s="160" t="s">
        <v>321</v>
      </c>
      <c r="C56" s="160"/>
      <c r="D56" s="160"/>
      <c r="E56" s="406">
        <v>-1110.9799999999996</v>
      </c>
      <c r="F56" s="406">
        <v>-2295.2648794466008</v>
      </c>
      <c r="G56" s="406">
        <v>-344.69454338829928</v>
      </c>
      <c r="H56" s="406">
        <v>611.5304564172975</v>
      </c>
      <c r="I56" s="406">
        <v>-5253.1066270144202</v>
      </c>
      <c r="J56" s="406">
        <v>0</v>
      </c>
      <c r="K56" s="406">
        <v>4843</v>
      </c>
      <c r="L56" s="406">
        <v>-2092</v>
      </c>
      <c r="M56" s="406">
        <v>-1289</v>
      </c>
      <c r="N56" s="406">
        <v>200</v>
      </c>
      <c r="O56" s="406">
        <v>265</v>
      </c>
      <c r="P56" s="406">
        <v>3325</v>
      </c>
      <c r="Q56" s="406">
        <v>-502</v>
      </c>
      <c r="R56" s="406">
        <v>2041</v>
      </c>
      <c r="S56" s="406">
        <v>9639</v>
      </c>
      <c r="T56" s="406">
        <v>-8709</v>
      </c>
      <c r="U56" s="406">
        <v>1587</v>
      </c>
      <c r="V56" s="406">
        <v>8691</v>
      </c>
      <c r="W56" s="406">
        <v>-4042</v>
      </c>
      <c r="X56" s="406">
        <v>41143</v>
      </c>
      <c r="Y56" s="406">
        <v>-20415</v>
      </c>
      <c r="Z56" s="406">
        <v>-1874</v>
      </c>
      <c r="AA56" s="406">
        <v>22200</v>
      </c>
      <c r="AB56" s="406">
        <v>1636</v>
      </c>
      <c r="AC56" s="406">
        <v>-20415</v>
      </c>
      <c r="AD56" s="406">
        <v>-12114</v>
      </c>
      <c r="AE56" s="406">
        <v>16347</v>
      </c>
      <c r="AF56" s="406">
        <v>11863</v>
      </c>
      <c r="AG56" s="406">
        <v>65391</v>
      </c>
      <c r="AH56" s="406">
        <v>-83799</v>
      </c>
      <c r="AI56" s="406">
        <v>-55053.384389179962</v>
      </c>
      <c r="AJ56" s="406">
        <v>17376.232051634463</v>
      </c>
      <c r="AK56" s="406">
        <v>4336.4191754155618</v>
      </c>
      <c r="AL56" s="406">
        <v>-22460.402932999998</v>
      </c>
      <c r="AM56" s="406">
        <v>-6490.4046742499995</v>
      </c>
      <c r="AN56" s="406"/>
      <c r="AO56" s="406"/>
      <c r="AP56" s="406">
        <v>4096.5075497721946</v>
      </c>
      <c r="AQ56" s="406">
        <v>52487.573828348817</v>
      </c>
      <c r="AR56" s="406">
        <v>-3788.2713054410078</v>
      </c>
      <c r="AS56" s="406">
        <v>10852</v>
      </c>
      <c r="AT56" s="406">
        <v>-39909.622723260029</v>
      </c>
      <c r="AU56" s="406">
        <v>-4363.7644210000071</v>
      </c>
      <c r="AV56" s="406">
        <v>-25384.940141930012</v>
      </c>
      <c r="AW56" s="406">
        <v>-1314</v>
      </c>
      <c r="AX56" s="406">
        <v>1276.9618917499997</v>
      </c>
      <c r="AY56" s="406">
        <v>-863</v>
      </c>
      <c r="AZ56" s="406">
        <v>162.27828970999167</v>
      </c>
      <c r="BA56" s="406">
        <v>14939.234018590027</v>
      </c>
      <c r="BB56" s="406">
        <v>19865.323436390005</v>
      </c>
      <c r="BC56" s="406">
        <v>44016.501801847757</v>
      </c>
      <c r="BE56" s="2"/>
    </row>
    <row r="57" spans="1:57" ht="18" customHeight="1">
      <c r="A57" s="2"/>
      <c r="B57" s="160" t="s">
        <v>322</v>
      </c>
      <c r="C57" s="160"/>
      <c r="D57" s="160"/>
      <c r="E57" s="406"/>
      <c r="F57" s="406"/>
      <c r="G57" s="406"/>
      <c r="H57" s="406"/>
      <c r="I57" s="406"/>
      <c r="J57" s="406"/>
      <c r="K57" s="406"/>
      <c r="L57" s="406"/>
      <c r="M57" s="406"/>
      <c r="N57" s="406"/>
      <c r="O57" s="406">
        <v>0</v>
      </c>
      <c r="P57" s="406">
        <v>0</v>
      </c>
      <c r="Q57" s="406">
        <v>0</v>
      </c>
      <c r="R57" s="406">
        <v>4768</v>
      </c>
      <c r="S57" s="406">
        <v>31048</v>
      </c>
      <c r="T57" s="406">
        <v>12099</v>
      </c>
      <c r="U57" s="406">
        <v>205</v>
      </c>
      <c r="V57" s="406">
        <v>92</v>
      </c>
      <c r="W57" s="406">
        <v>5025</v>
      </c>
      <c r="X57" s="406">
        <v>660</v>
      </c>
      <c r="Y57" s="406">
        <v>500</v>
      </c>
      <c r="Z57" s="406">
        <v>1077</v>
      </c>
      <c r="AA57" s="406">
        <v>99</v>
      </c>
      <c r="AB57" s="406">
        <v>1191</v>
      </c>
      <c r="AC57" s="406">
        <v>500</v>
      </c>
      <c r="AD57" s="406">
        <v>4500</v>
      </c>
      <c r="AE57" s="406">
        <v>651</v>
      </c>
      <c r="AF57" s="406">
        <v>-2029</v>
      </c>
      <c r="AG57" s="406">
        <v>-1329</v>
      </c>
      <c r="AH57" s="406">
        <v>-11859</v>
      </c>
      <c r="AI57" s="406">
        <v>-6371.654641680776</v>
      </c>
      <c r="AJ57" s="406">
        <v>-16243.474920597357</v>
      </c>
      <c r="AK57" s="406">
        <v>-13265.631575786872</v>
      </c>
      <c r="AL57" s="406">
        <v>-13868.232398432772</v>
      </c>
      <c r="AM57" s="406">
        <v>-11388.516055734412</v>
      </c>
      <c r="AN57" s="406"/>
      <c r="AO57" s="406"/>
      <c r="AP57" s="406"/>
      <c r="AQ57" s="406"/>
      <c r="AR57" s="406"/>
      <c r="AS57" s="406"/>
      <c r="AT57" s="406"/>
      <c r="AU57" s="406"/>
      <c r="AV57" s="406"/>
      <c r="AW57" s="406"/>
      <c r="AX57" s="406"/>
      <c r="AY57" s="406"/>
      <c r="AZ57" s="406"/>
      <c r="BA57" s="406"/>
      <c r="BB57" s="406"/>
      <c r="BC57" s="406"/>
      <c r="BD57" s="2"/>
      <c r="BE57" s="2"/>
    </row>
    <row r="58" spans="1:57" ht="18" customHeight="1">
      <c r="A58" s="2"/>
      <c r="B58" s="471" t="s">
        <v>323</v>
      </c>
      <c r="C58" s="471"/>
      <c r="D58" s="471"/>
      <c r="E58" s="406"/>
      <c r="F58" s="406"/>
      <c r="G58" s="406"/>
      <c r="H58" s="406"/>
      <c r="I58" s="406"/>
      <c r="J58" s="406"/>
      <c r="K58" s="406"/>
      <c r="L58" s="406"/>
      <c r="M58" s="406"/>
      <c r="N58" s="406"/>
      <c r="O58" s="406">
        <v>0</v>
      </c>
      <c r="P58" s="406">
        <v>0</v>
      </c>
      <c r="Q58" s="406">
        <v>0</v>
      </c>
      <c r="R58" s="406">
        <v>-57</v>
      </c>
      <c r="S58" s="406">
        <v>-708</v>
      </c>
      <c r="T58" s="406">
        <v>-873</v>
      </c>
      <c r="U58" s="406">
        <v>-955</v>
      </c>
      <c r="V58" s="406">
        <v>-844</v>
      </c>
      <c r="W58" s="406">
        <v>-987</v>
      </c>
      <c r="X58" s="406">
        <v>-866</v>
      </c>
      <c r="Y58" s="406">
        <v>-1202</v>
      </c>
      <c r="Z58" s="406">
        <v>-1094</v>
      </c>
      <c r="AA58" s="406">
        <v>-1003</v>
      </c>
      <c r="AB58" s="406">
        <v>-1053</v>
      </c>
      <c r="AC58" s="406">
        <v>-1202</v>
      </c>
      <c r="AD58" s="406">
        <v>98</v>
      </c>
      <c r="AE58" s="406"/>
      <c r="AF58" s="406"/>
      <c r="AG58" s="406"/>
      <c r="AH58" s="406"/>
      <c r="AI58" s="406"/>
      <c r="AJ58" s="406"/>
      <c r="AK58" s="406"/>
      <c r="AL58" s="406"/>
      <c r="AM58" s="406"/>
      <c r="AN58" s="406"/>
      <c r="AO58" s="406"/>
      <c r="AP58" s="406">
        <v>-17623.040636960395</v>
      </c>
      <c r="AQ58" s="406">
        <v>-16243.946354852509</v>
      </c>
      <c r="AR58" s="406">
        <v>-20335.40054931811</v>
      </c>
      <c r="AS58" s="406">
        <v>-22225</v>
      </c>
      <c r="AT58" s="406">
        <v>-21058.465557797565</v>
      </c>
      <c r="AU58" s="406">
        <v>-18871.090980584326</v>
      </c>
      <c r="AV58" s="406">
        <v>-19095.075681192233</v>
      </c>
      <c r="AW58" s="406">
        <v>-16961</v>
      </c>
      <c r="AX58" s="406">
        <v>-19758.991594485429</v>
      </c>
      <c r="AY58" s="406">
        <v>-20935</v>
      </c>
      <c r="AZ58" s="406">
        <v>-19645.822124259234</v>
      </c>
      <c r="BA58" s="406">
        <v>-18211.551608775953</v>
      </c>
      <c r="BB58" s="406">
        <v>-18471.388805848514</v>
      </c>
      <c r="BC58" s="406">
        <v>-19666.563809129948</v>
      </c>
      <c r="BE58" s="2"/>
    </row>
    <row r="59" spans="1:57" ht="18" customHeight="1">
      <c r="A59" s="2"/>
      <c r="B59" s="157" t="s">
        <v>324</v>
      </c>
      <c r="C59" s="157"/>
      <c r="D59" s="157"/>
      <c r="E59" s="406"/>
      <c r="F59" s="406"/>
      <c r="G59" s="406"/>
      <c r="H59" s="406"/>
      <c r="I59" s="406"/>
      <c r="J59" s="406">
        <v>0</v>
      </c>
      <c r="K59" s="406">
        <v>0</v>
      </c>
      <c r="L59" s="406">
        <v>0</v>
      </c>
      <c r="M59" s="406">
        <v>0</v>
      </c>
      <c r="N59" s="406">
        <v>-9173</v>
      </c>
      <c r="O59" s="406">
        <v>0</v>
      </c>
      <c r="P59" s="406">
        <v>0</v>
      </c>
      <c r="Q59" s="406">
        <v>0</v>
      </c>
      <c r="R59" s="406">
        <v>0</v>
      </c>
      <c r="S59" s="406">
        <v>0</v>
      </c>
      <c r="T59" s="406">
        <v>0</v>
      </c>
      <c r="U59" s="406">
        <v>0</v>
      </c>
      <c r="V59" s="406">
        <v>0</v>
      </c>
      <c r="W59" s="406">
        <v>0</v>
      </c>
      <c r="X59" s="406">
        <v>0</v>
      </c>
      <c r="Y59" s="406">
        <v>0</v>
      </c>
      <c r="Z59" s="406">
        <v>0</v>
      </c>
      <c r="AA59" s="406"/>
      <c r="AB59" s="406">
        <v>0</v>
      </c>
      <c r="AC59" s="406">
        <v>0</v>
      </c>
      <c r="AD59" s="406">
        <v>0</v>
      </c>
      <c r="AE59" s="406">
        <v>-146</v>
      </c>
      <c r="AF59" s="406">
        <v>-42</v>
      </c>
      <c r="AG59" s="406">
        <v>2</v>
      </c>
      <c r="AH59" s="406">
        <v>-83</v>
      </c>
      <c r="AI59" s="406">
        <v>2.1050450000000001</v>
      </c>
      <c r="AJ59" s="406">
        <v>-411.18076372000002</v>
      </c>
      <c r="AK59" s="406">
        <v>0.4612500000000006</v>
      </c>
      <c r="AL59" s="406">
        <v>-20.94198982289808</v>
      </c>
      <c r="AM59" s="406">
        <v>7.4556545573097193</v>
      </c>
      <c r="AN59" s="406"/>
      <c r="AO59" s="406"/>
      <c r="AP59" s="406"/>
      <c r="AQ59" s="406"/>
      <c r="AR59" s="406"/>
      <c r="AS59" s="406"/>
      <c r="AT59" s="406"/>
      <c r="AU59" s="406"/>
      <c r="AV59" s="406"/>
      <c r="AW59" s="406"/>
      <c r="AX59" s="406"/>
      <c r="AY59" s="406"/>
      <c r="AZ59" s="406"/>
      <c r="BA59" s="406"/>
      <c r="BB59" s="406"/>
      <c r="BC59" s="406"/>
      <c r="BD59" s="2"/>
      <c r="BE59" s="2"/>
    </row>
    <row r="60" spans="1:57" ht="18" customHeight="1">
      <c r="A60" s="2"/>
      <c r="B60" s="160" t="s">
        <v>325</v>
      </c>
      <c r="C60" s="160"/>
      <c r="D60" s="160"/>
      <c r="E60" s="406"/>
      <c r="F60" s="406"/>
      <c r="G60" s="406"/>
      <c r="H60" s="406"/>
      <c r="I60" s="406"/>
      <c r="J60" s="406">
        <v>0</v>
      </c>
      <c r="K60" s="406">
        <v>0</v>
      </c>
      <c r="L60" s="406">
        <v>0</v>
      </c>
      <c r="M60" s="406">
        <v>0</v>
      </c>
      <c r="N60" s="406">
        <v>0</v>
      </c>
      <c r="O60" s="406">
        <v>0</v>
      </c>
      <c r="P60" s="406">
        <v>0</v>
      </c>
      <c r="Q60" s="406">
        <v>0</v>
      </c>
      <c r="R60" s="406">
        <v>0</v>
      </c>
      <c r="S60" s="406">
        <v>0</v>
      </c>
      <c r="T60" s="406">
        <v>0</v>
      </c>
      <c r="U60" s="406">
        <v>0</v>
      </c>
      <c r="V60" s="406">
        <v>0</v>
      </c>
      <c r="W60" s="406">
        <v>0</v>
      </c>
      <c r="X60" s="406">
        <v>0</v>
      </c>
      <c r="Y60" s="406">
        <v>0</v>
      </c>
      <c r="Z60" s="406">
        <v>0</v>
      </c>
      <c r="AA60" s="406"/>
      <c r="AB60" s="406">
        <v>0</v>
      </c>
      <c r="AC60" s="406">
        <v>0</v>
      </c>
      <c r="AD60" s="406">
        <v>0</v>
      </c>
      <c r="AE60" s="406"/>
      <c r="AF60" s="406"/>
      <c r="AG60" s="406"/>
      <c r="AH60" s="406"/>
      <c r="AI60" s="406"/>
      <c r="AJ60" s="406"/>
      <c r="AK60" s="406">
        <v>143055</v>
      </c>
      <c r="AL60" s="406">
        <v>0</v>
      </c>
      <c r="AM60" s="406"/>
      <c r="AN60" s="406"/>
      <c r="AO60" s="406"/>
      <c r="AP60" s="406"/>
      <c r="AQ60" s="406"/>
      <c r="AR60" s="406"/>
      <c r="AS60" s="406"/>
      <c r="AT60" s="406"/>
      <c r="AU60" s="406"/>
      <c r="AV60" s="406"/>
      <c r="AW60" s="406"/>
      <c r="AX60" s="406"/>
      <c r="AY60" s="406"/>
      <c r="AZ60" s="406"/>
      <c r="BA60" s="406"/>
      <c r="BB60" s="406"/>
      <c r="BC60" s="406"/>
      <c r="BD60" s="2"/>
      <c r="BE60" s="2"/>
    </row>
    <row r="61" spans="1:57" ht="18" customHeight="1">
      <c r="A61" s="2"/>
      <c r="B61" s="160" t="s">
        <v>326</v>
      </c>
      <c r="C61" s="160"/>
      <c r="D61" s="160"/>
      <c r="E61" s="406">
        <v>0</v>
      </c>
      <c r="F61" s="406">
        <v>0</v>
      </c>
      <c r="G61" s="406">
        <v>-762</v>
      </c>
      <c r="H61" s="406">
        <v>0</v>
      </c>
      <c r="I61" s="406">
        <v>0</v>
      </c>
      <c r="J61" s="406">
        <v>0</v>
      </c>
      <c r="K61" s="406">
        <v>0</v>
      </c>
      <c r="L61" s="406">
        <v>0</v>
      </c>
      <c r="M61" s="406">
        <v>0</v>
      </c>
      <c r="N61" s="406">
        <v>0</v>
      </c>
      <c r="O61" s="406">
        <v>0</v>
      </c>
      <c r="P61" s="406">
        <v>0</v>
      </c>
      <c r="Q61" s="406">
        <v>0</v>
      </c>
      <c r="R61" s="406">
        <v>0</v>
      </c>
      <c r="S61" s="406">
        <v>-514</v>
      </c>
      <c r="T61" s="406">
        <v>0</v>
      </c>
      <c r="U61" s="406">
        <v>0</v>
      </c>
      <c r="V61" s="406">
        <v>0</v>
      </c>
      <c r="W61" s="406">
        <v>0</v>
      </c>
      <c r="X61" s="406">
        <v>0</v>
      </c>
      <c r="Y61" s="406">
        <v>0</v>
      </c>
      <c r="Z61" s="406">
        <v>0</v>
      </c>
      <c r="AA61" s="406"/>
      <c r="AB61" s="406">
        <v>-241</v>
      </c>
      <c r="AC61" s="406">
        <v>0</v>
      </c>
      <c r="AD61" s="406">
        <v>-776</v>
      </c>
      <c r="AE61" s="406"/>
      <c r="AF61" s="406"/>
      <c r="AG61" s="406"/>
      <c r="AH61" s="406"/>
      <c r="AI61" s="406"/>
      <c r="AJ61" s="406"/>
      <c r="AK61" s="406">
        <v>70456.429158010971</v>
      </c>
      <c r="AL61" s="406">
        <v>0</v>
      </c>
      <c r="AM61" s="406"/>
      <c r="AN61" s="406"/>
      <c r="AO61" s="406"/>
      <c r="AP61" s="406">
        <v>0</v>
      </c>
      <c r="AQ61" s="406">
        <v>-205.009635</v>
      </c>
      <c r="AR61" s="406">
        <v>-362.44429893999995</v>
      </c>
      <c r="AS61" s="406">
        <v>-24</v>
      </c>
      <c r="AT61" s="406">
        <v>0.402285</v>
      </c>
      <c r="AU61" s="406">
        <v>-299.14009439999995</v>
      </c>
      <c r="AV61" s="406">
        <v>-198.14051385000002</v>
      </c>
      <c r="AW61" s="406">
        <v>1</v>
      </c>
      <c r="AX61" s="406">
        <v>36</v>
      </c>
      <c r="AY61" s="406">
        <v>-119</v>
      </c>
      <c r="AZ61" s="406">
        <v>3105.622488575676</v>
      </c>
      <c r="BA61" s="406">
        <v>-4383.6231347993553</v>
      </c>
      <c r="BB61" s="406">
        <v>-446.99360000000007</v>
      </c>
      <c r="BC61" s="406">
        <v>-1789.8074837000001</v>
      </c>
      <c r="BD61" s="2"/>
      <c r="BE61" s="2"/>
    </row>
    <row r="62" spans="1:57" ht="18" customHeight="1">
      <c r="A62" s="2"/>
      <c r="B62" s="471" t="s">
        <v>327</v>
      </c>
      <c r="C62" s="471"/>
      <c r="D62" s="471"/>
      <c r="E62" s="406">
        <v>-7251.9443884253342</v>
      </c>
      <c r="F62" s="406">
        <v>-10439.850700718847</v>
      </c>
      <c r="G62" s="406">
        <v>-9077.902964647712</v>
      </c>
      <c r="H62" s="406">
        <v>-12446.5543731169</v>
      </c>
      <c r="I62" s="406">
        <v>-7478.6646312429857</v>
      </c>
      <c r="J62" s="406">
        <v>-9957</v>
      </c>
      <c r="K62" s="406">
        <v>-10192</v>
      </c>
      <c r="L62" s="406">
        <v>-10059</v>
      </c>
      <c r="M62" s="406">
        <v>-7412</v>
      </c>
      <c r="N62" s="406">
        <v>-9357</v>
      </c>
      <c r="O62" s="406">
        <v>-7264</v>
      </c>
      <c r="P62" s="406">
        <v>-7536</v>
      </c>
      <c r="Q62" s="406">
        <v>-9730</v>
      </c>
      <c r="R62" s="406">
        <v>-9232</v>
      </c>
      <c r="S62" s="406">
        <v>-7841</v>
      </c>
      <c r="T62" s="406">
        <v>-8953</v>
      </c>
      <c r="U62" s="406">
        <v>-6864</v>
      </c>
      <c r="V62" s="406">
        <v>-9744</v>
      </c>
      <c r="W62" s="406">
        <v>-6411</v>
      </c>
      <c r="X62" s="406">
        <v>-9420</v>
      </c>
      <c r="Y62" s="406">
        <v>-32991</v>
      </c>
      <c r="Z62" s="406">
        <v>-10936</v>
      </c>
      <c r="AA62" s="406">
        <v>-6259</v>
      </c>
      <c r="AB62" s="406">
        <v>-10379</v>
      </c>
      <c r="AC62" s="406">
        <v>-32991</v>
      </c>
      <c r="AD62" s="406">
        <v>-30987</v>
      </c>
      <c r="AE62" s="406">
        <v>-5763</v>
      </c>
      <c r="AF62" s="406">
        <v>-12801</v>
      </c>
      <c r="AG62" s="406">
        <v>-26620</v>
      </c>
      <c r="AH62" s="406">
        <v>-43271</v>
      </c>
      <c r="AI62" s="406">
        <v>-14643</v>
      </c>
      <c r="AJ62" s="406">
        <v>-21548.695079318466</v>
      </c>
      <c r="AK62" s="406">
        <v>-30529.808401887058</v>
      </c>
      <c r="AL62" s="406">
        <v>-21335.14803134447</v>
      </c>
      <c r="AM62" s="406">
        <v>98.173688945229515</v>
      </c>
      <c r="AN62" s="406"/>
      <c r="AO62" s="406">
        <v>-12054.482241150596</v>
      </c>
      <c r="AP62" s="406">
        <v>-18727.389537107389</v>
      </c>
      <c r="AQ62" s="406">
        <v>-11120.170855944471</v>
      </c>
      <c r="AR62" s="406">
        <v>-41428.461429768678</v>
      </c>
      <c r="AS62" s="406">
        <v>-60313</v>
      </c>
      <c r="AT62" s="406">
        <v>-17500.216553712897</v>
      </c>
      <c r="AU62" s="406">
        <v>-12173.193815786733</v>
      </c>
      <c r="AV62" s="406">
        <v>-17261.570001499284</v>
      </c>
      <c r="AW62" s="406">
        <v>-19958</v>
      </c>
      <c r="AX62" s="406">
        <v>-23200</v>
      </c>
      <c r="AY62" s="406">
        <v>-54561</v>
      </c>
      <c r="AZ62" s="406">
        <v>-23309.75400719652</v>
      </c>
      <c r="BA62" s="406">
        <v>-39192.581768330841</v>
      </c>
      <c r="BB62" s="406">
        <v>-41579.664802518048</v>
      </c>
      <c r="BC62" s="406">
        <v>-63744.135818073657</v>
      </c>
      <c r="BD62" s="2"/>
      <c r="BE62" s="2"/>
    </row>
    <row r="63" spans="1:57" ht="18" customHeight="1">
      <c r="A63" s="2"/>
      <c r="B63" s="160" t="s">
        <v>328</v>
      </c>
      <c r="C63" s="160"/>
      <c r="D63" s="160"/>
      <c r="E63" s="406">
        <v>22</v>
      </c>
      <c r="F63" s="406">
        <v>11</v>
      </c>
      <c r="G63" s="406">
        <v>32.6</v>
      </c>
      <c r="H63" s="406">
        <v>13</v>
      </c>
      <c r="I63" s="406">
        <v>11</v>
      </c>
      <c r="J63" s="406">
        <v>13</v>
      </c>
      <c r="K63" s="406">
        <v>13</v>
      </c>
      <c r="L63" s="406">
        <v>7</v>
      </c>
      <c r="M63" s="406">
        <v>65</v>
      </c>
      <c r="N63" s="406">
        <v>83</v>
      </c>
      <c r="O63" s="406">
        <v>32</v>
      </c>
      <c r="P63" s="406">
        <v>73</v>
      </c>
      <c r="Q63" s="406">
        <v>364</v>
      </c>
      <c r="R63" s="406">
        <v>367</v>
      </c>
      <c r="S63" s="406">
        <v>176</v>
      </c>
      <c r="T63" s="406">
        <v>15</v>
      </c>
      <c r="U63" s="406">
        <v>11</v>
      </c>
      <c r="V63" s="406">
        <v>2</v>
      </c>
      <c r="W63" s="406">
        <v>16</v>
      </c>
      <c r="X63" s="406">
        <v>37</v>
      </c>
      <c r="Y63" s="406">
        <v>10</v>
      </c>
      <c r="Z63" s="406">
        <v>0</v>
      </c>
      <c r="AA63" s="406">
        <v>9</v>
      </c>
      <c r="AB63" s="406">
        <v>1</v>
      </c>
      <c r="AC63" s="406">
        <v>10</v>
      </c>
      <c r="AD63" s="406"/>
      <c r="AE63" s="406"/>
      <c r="AF63" s="406"/>
      <c r="AG63" s="406"/>
      <c r="AH63" s="406"/>
      <c r="AI63" s="406"/>
      <c r="AJ63" s="406"/>
      <c r="AK63" s="406"/>
      <c r="AL63" s="406">
        <v>-5677.8001640249986</v>
      </c>
      <c r="AM63" s="406"/>
      <c r="AN63" s="406"/>
      <c r="AO63" s="406"/>
      <c r="AP63" s="406"/>
      <c r="AQ63" s="406"/>
      <c r="AR63" s="406"/>
      <c r="AS63" s="406"/>
      <c r="AT63" s="406"/>
      <c r="AU63" s="406"/>
      <c r="AY63" s="406"/>
      <c r="AZ63" s="406"/>
      <c r="BA63" s="406"/>
      <c r="BB63" s="406"/>
      <c r="BC63" s="406"/>
      <c r="BD63" s="2"/>
      <c r="BE63" s="2"/>
    </row>
    <row r="64" spans="1:57" ht="18" customHeight="1">
      <c r="A64" s="2"/>
      <c r="B64" s="160" t="s">
        <v>329</v>
      </c>
      <c r="C64" s="160"/>
      <c r="D64" s="160"/>
      <c r="E64" s="406">
        <v>0</v>
      </c>
      <c r="F64" s="406">
        <v>0</v>
      </c>
      <c r="G64" s="406">
        <v>-4412.3999999999996</v>
      </c>
      <c r="H64" s="406">
        <v>0</v>
      </c>
      <c r="I64" s="406">
        <v>0</v>
      </c>
      <c r="J64" s="406">
        <v>0</v>
      </c>
      <c r="K64" s="406">
        <v>-4439</v>
      </c>
      <c r="L64" s="406">
        <v>0</v>
      </c>
      <c r="M64" s="406">
        <v>0</v>
      </c>
      <c r="N64" s="406">
        <v>0</v>
      </c>
      <c r="O64" s="406">
        <v>-21331</v>
      </c>
      <c r="P64" s="406">
        <v>-68</v>
      </c>
      <c r="Q64" s="406">
        <v>0</v>
      </c>
      <c r="R64" s="406">
        <v>0</v>
      </c>
      <c r="S64" s="406">
        <v>-15304</v>
      </c>
      <c r="T64" s="406">
        <v>0</v>
      </c>
      <c r="U64" s="406">
        <v>0</v>
      </c>
      <c r="V64" s="406">
        <v>-23</v>
      </c>
      <c r="W64" s="406">
        <v>-9145</v>
      </c>
      <c r="X64" s="406">
        <v>0</v>
      </c>
      <c r="Y64" s="406">
        <v>0</v>
      </c>
      <c r="Z64" s="406">
        <v>-10348</v>
      </c>
      <c r="AA64" s="406">
        <v>-8468</v>
      </c>
      <c r="AB64" s="406">
        <v>0</v>
      </c>
      <c r="AC64" s="406">
        <v>0</v>
      </c>
      <c r="AD64" s="406">
        <v>2</v>
      </c>
      <c r="AE64" s="406">
        <v>-26700</v>
      </c>
      <c r="AF64" s="406">
        <v>-19820</v>
      </c>
      <c r="AG64" s="406">
        <v>0</v>
      </c>
      <c r="AH64" s="406">
        <v>-7774</v>
      </c>
      <c r="AI64" s="406">
        <v>-3784</v>
      </c>
      <c r="AJ64" s="406">
        <v>-6376.6620820905919</v>
      </c>
      <c r="AK64" s="406">
        <v>-328.35010745864201</v>
      </c>
      <c r="AL64" s="406">
        <v>-5678</v>
      </c>
      <c r="AM64" s="406">
        <v>-17113.472383108674</v>
      </c>
      <c r="AN64" s="406">
        <v>-4115</v>
      </c>
      <c r="AO64" s="406">
        <v>0</v>
      </c>
      <c r="AP64" s="406">
        <v>-2998.295796049747</v>
      </c>
      <c r="AQ64" s="406">
        <v>-3783.0824552586482</v>
      </c>
      <c r="AR64" s="406">
        <v>-6283.9597854516369</v>
      </c>
      <c r="AS64" s="406">
        <v>-1373</v>
      </c>
      <c r="AT64" s="406">
        <v>-4015.7426205937199</v>
      </c>
      <c r="AU64" s="406">
        <v>-23146</v>
      </c>
      <c r="AV64" s="406">
        <v>-8531.1596374601904</v>
      </c>
      <c r="AW64" s="406">
        <v>-205</v>
      </c>
      <c r="AX64" s="406">
        <v>-4032</v>
      </c>
      <c r="AY64" s="406">
        <v>-29813</v>
      </c>
      <c r="AZ64" s="406">
        <v>-8416.4662366482626</v>
      </c>
      <c r="BA64" s="406">
        <v>416.31102773192106</v>
      </c>
      <c r="BB64" s="406">
        <v>-4707.2026703595802</v>
      </c>
      <c r="BC64" s="406">
        <v>-54404.238634795751</v>
      </c>
      <c r="BD64" s="2"/>
      <c r="BE64" s="2"/>
    </row>
    <row r="65" spans="1:58" ht="18" customHeight="1">
      <c r="A65" s="2"/>
      <c r="B65" s="159" t="s">
        <v>330</v>
      </c>
      <c r="C65" s="159"/>
      <c r="D65" s="159"/>
      <c r="E65" s="406">
        <v>0</v>
      </c>
      <c r="F65" s="406">
        <v>-100.82171287068375</v>
      </c>
      <c r="G65" s="406">
        <v>-928.66711131030797</v>
      </c>
      <c r="H65" s="406">
        <v>0</v>
      </c>
      <c r="I65" s="406">
        <v>-96.229741801689912</v>
      </c>
      <c r="J65" s="406">
        <v>-132</v>
      </c>
      <c r="K65" s="406">
        <v>-1772</v>
      </c>
      <c r="L65" s="406">
        <v>-392</v>
      </c>
      <c r="M65" s="406">
        <v>0</v>
      </c>
      <c r="N65" s="406">
        <v>0</v>
      </c>
      <c r="O65" s="406">
        <v>0</v>
      </c>
      <c r="P65" s="406">
        <v>0</v>
      </c>
      <c r="Q65" s="406">
        <v>0</v>
      </c>
      <c r="R65" s="406">
        <v>0</v>
      </c>
      <c r="S65" s="406">
        <v>0</v>
      </c>
      <c r="T65" s="406">
        <v>0</v>
      </c>
      <c r="U65" s="406">
        <v>0</v>
      </c>
      <c r="V65" s="406">
        <v>0</v>
      </c>
      <c r="W65" s="406">
        <v>0</v>
      </c>
      <c r="X65" s="406">
        <v>0</v>
      </c>
      <c r="Y65" s="406">
        <v>0</v>
      </c>
      <c r="Z65" s="406">
        <v>0</v>
      </c>
      <c r="AA65" s="406"/>
      <c r="AB65" s="406">
        <v>0</v>
      </c>
      <c r="AC65" s="406">
        <v>0</v>
      </c>
      <c r="AD65" s="406">
        <v>0</v>
      </c>
      <c r="AE65" s="406">
        <v>597</v>
      </c>
      <c r="AF65" s="406">
        <v>89751</v>
      </c>
      <c r="AG65" s="406"/>
      <c r="AH65" s="406"/>
      <c r="AI65" s="406"/>
      <c r="AJ65" s="406"/>
      <c r="AK65" s="406"/>
      <c r="AL65" s="406">
        <v>0</v>
      </c>
      <c r="AM65" s="406"/>
      <c r="AN65" s="406"/>
      <c r="AO65" s="406"/>
      <c r="AP65" s="406"/>
      <c r="AQ65" s="406"/>
      <c r="AR65" s="406"/>
      <c r="AS65" s="406"/>
      <c r="AT65" s="406"/>
      <c r="AU65" s="406"/>
      <c r="AV65" s="406"/>
      <c r="AW65" s="406"/>
      <c r="AX65" s="406"/>
      <c r="AY65" s="406"/>
      <c r="AZ65" s="406"/>
      <c r="BA65" s="406"/>
      <c r="BB65" s="406"/>
      <c r="BC65" s="406"/>
      <c r="BD65" s="2"/>
      <c r="BE65" s="2"/>
    </row>
    <row r="66" spans="1:58" ht="18" customHeight="1">
      <c r="A66" s="2"/>
      <c r="B66" s="496" t="s">
        <v>331</v>
      </c>
      <c r="C66" s="496"/>
      <c r="D66" s="496"/>
      <c r="E66" s="406">
        <v>0</v>
      </c>
      <c r="F66" s="406">
        <v>0</v>
      </c>
      <c r="G66" s="406">
        <v>0</v>
      </c>
      <c r="H66" s="406">
        <v>32303</v>
      </c>
      <c r="I66" s="406">
        <v>0</v>
      </c>
      <c r="J66" s="406">
        <v>0</v>
      </c>
      <c r="K66" s="406">
        <v>0</v>
      </c>
      <c r="L66" s="406">
        <v>0</v>
      </c>
      <c r="M66" s="406">
        <v>0</v>
      </c>
      <c r="N66" s="406">
        <v>0</v>
      </c>
      <c r="O66" s="406">
        <v>0</v>
      </c>
      <c r="P66" s="406">
        <v>0</v>
      </c>
      <c r="Q66" s="406">
        <v>0</v>
      </c>
      <c r="R66" s="406">
        <v>0</v>
      </c>
      <c r="S66" s="406">
        <v>0</v>
      </c>
      <c r="T66" s="406">
        <v>0</v>
      </c>
      <c r="U66" s="406">
        <v>984</v>
      </c>
      <c r="V66" s="406">
        <v>0</v>
      </c>
      <c r="W66" s="406">
        <v>250</v>
      </c>
      <c r="X66" s="406">
        <v>299</v>
      </c>
      <c r="Y66" s="406">
        <v>696.46109313587294</v>
      </c>
      <c r="Z66" s="406">
        <v>0</v>
      </c>
      <c r="AA66" s="406"/>
      <c r="AB66" s="406">
        <v>0</v>
      </c>
      <c r="AC66" s="406">
        <v>696.46109313587294</v>
      </c>
      <c r="AD66" s="406">
        <v>-92</v>
      </c>
      <c r="AE66" s="406">
        <v>16238</v>
      </c>
      <c r="AF66" s="406">
        <v>0</v>
      </c>
      <c r="AG66" s="406">
        <v>13993</v>
      </c>
      <c r="AH66" s="406">
        <v>231</v>
      </c>
      <c r="AI66" s="406">
        <v>54799</v>
      </c>
      <c r="AJ66" s="406">
        <v>53074.241961283566</v>
      </c>
      <c r="AK66" s="406">
        <v>20409.984661786337</v>
      </c>
      <c r="AL66" s="406">
        <v>0</v>
      </c>
      <c r="AM66" s="406"/>
      <c r="AN66" s="406"/>
      <c r="AO66" s="406"/>
      <c r="AP66" s="406">
        <v>0</v>
      </c>
      <c r="AQ66" s="406">
        <v>4000</v>
      </c>
      <c r="AR66" s="406">
        <v>0</v>
      </c>
      <c r="AS66" s="406">
        <v>6880</v>
      </c>
      <c r="AT66" s="406">
        <v>0</v>
      </c>
      <c r="AU66" s="406"/>
      <c r="AY66" s="406"/>
      <c r="AZ66" s="406"/>
      <c r="BA66" s="406">
        <v>4390.6633673436854</v>
      </c>
      <c r="BB66" s="406">
        <v>83.360050000000001</v>
      </c>
      <c r="BC66" s="406">
        <v>66.111542118041683</v>
      </c>
      <c r="BD66" s="2"/>
      <c r="BE66" s="2"/>
    </row>
    <row r="67" spans="1:58" ht="18" customHeight="1">
      <c r="A67" s="2"/>
      <c r="B67" s="159" t="s">
        <v>846</v>
      </c>
      <c r="C67" s="159"/>
      <c r="D67" s="159"/>
      <c r="E67" s="406"/>
      <c r="F67" s="406"/>
      <c r="G67" s="406"/>
      <c r="H67" s="406"/>
      <c r="I67" s="406"/>
      <c r="J67" s="406">
        <v>0</v>
      </c>
      <c r="K67" s="406">
        <v>0</v>
      </c>
      <c r="L67" s="406">
        <v>0</v>
      </c>
      <c r="M67" s="406">
        <v>0</v>
      </c>
      <c r="N67" s="406">
        <v>0</v>
      </c>
      <c r="O67" s="406">
        <v>0</v>
      </c>
      <c r="P67" s="406">
        <v>0</v>
      </c>
      <c r="Q67" s="406">
        <v>0</v>
      </c>
      <c r="R67" s="406">
        <v>0</v>
      </c>
      <c r="S67" s="406">
        <v>0</v>
      </c>
      <c r="T67" s="406">
        <v>0</v>
      </c>
      <c r="U67" s="406">
        <v>0</v>
      </c>
      <c r="V67" s="406">
        <v>0</v>
      </c>
      <c r="W67" s="406">
        <v>0</v>
      </c>
      <c r="X67" s="406">
        <v>0</v>
      </c>
      <c r="Y67" s="406">
        <v>0</v>
      </c>
      <c r="Z67" s="406">
        <v>0</v>
      </c>
      <c r="AA67" s="406"/>
      <c r="AB67" s="406">
        <v>0</v>
      </c>
      <c r="AC67" s="406">
        <v>0</v>
      </c>
      <c r="AD67" s="406">
        <v>0</v>
      </c>
      <c r="AE67" s="406">
        <v>0</v>
      </c>
      <c r="AF67" s="406"/>
      <c r="AG67" s="406"/>
      <c r="AH67" s="406">
        <f>-15784</f>
        <v>-15784</v>
      </c>
      <c r="AI67" s="406"/>
      <c r="AJ67" s="406"/>
      <c r="AK67" s="406">
        <v>-1782</v>
      </c>
      <c r="AL67" s="406"/>
      <c r="AM67" s="406"/>
      <c r="AN67" s="406"/>
      <c r="AO67" s="406"/>
      <c r="AP67" s="406">
        <v>1123.8935674393058</v>
      </c>
      <c r="AQ67" s="406">
        <v>-569.78054408011383</v>
      </c>
      <c r="AR67" s="406">
        <v>-817.60947781536038</v>
      </c>
      <c r="AS67" s="406">
        <v>-440</v>
      </c>
      <c r="AT67" s="406">
        <v>-1009.5071607496998</v>
      </c>
      <c r="AU67" s="406">
        <v>-1160</v>
      </c>
      <c r="AV67" s="406">
        <v>-1362.8605252999218</v>
      </c>
      <c r="AW67" s="406">
        <v>-369</v>
      </c>
      <c r="AX67" s="406">
        <v>317</v>
      </c>
      <c r="AY67" s="406">
        <v>-321</v>
      </c>
      <c r="AZ67" s="406">
        <v>410.22199609698959</v>
      </c>
      <c r="BA67" s="406">
        <v>166.04821191597858</v>
      </c>
      <c r="BB67" s="406">
        <v>-7103.1366092266962</v>
      </c>
      <c r="BC67" s="406">
        <v>-2619.6370158649697</v>
      </c>
      <c r="BE67" s="2"/>
    </row>
    <row r="68" spans="1:58">
      <c r="A68" s="2"/>
      <c r="B68" s="495" t="s">
        <v>339</v>
      </c>
      <c r="C68" s="495"/>
      <c r="D68" s="495"/>
      <c r="E68" s="406">
        <v>0</v>
      </c>
      <c r="F68" s="406">
        <v>0</v>
      </c>
      <c r="G68" s="406">
        <v>0</v>
      </c>
      <c r="H68" s="406">
        <v>-646</v>
      </c>
      <c r="I68" s="406">
        <v>67</v>
      </c>
      <c r="J68" s="406">
        <v>67956</v>
      </c>
      <c r="K68" s="406">
        <v>0</v>
      </c>
      <c r="L68" s="406">
        <v>0</v>
      </c>
      <c r="M68" s="406">
        <v>0</v>
      </c>
      <c r="N68" s="406">
        <v>0</v>
      </c>
      <c r="O68" s="406">
        <v>0</v>
      </c>
      <c r="P68" s="406">
        <v>0</v>
      </c>
      <c r="Q68" s="406">
        <v>0</v>
      </c>
      <c r="R68" s="406">
        <v>0</v>
      </c>
      <c r="S68" s="406">
        <v>0</v>
      </c>
      <c r="T68" s="406">
        <v>0</v>
      </c>
      <c r="U68" s="406">
        <v>0</v>
      </c>
      <c r="V68" s="406">
        <v>0</v>
      </c>
      <c r="W68" s="406">
        <v>0</v>
      </c>
      <c r="X68" s="406">
        <v>0</v>
      </c>
      <c r="Y68" s="406">
        <v>61863</v>
      </c>
      <c r="Z68" s="406">
        <v>0</v>
      </c>
      <c r="AA68" s="406"/>
      <c r="AB68" s="406">
        <v>31630</v>
      </c>
      <c r="AC68" s="406">
        <v>61863</v>
      </c>
      <c r="AD68" s="406">
        <v>0</v>
      </c>
      <c r="AE68" s="406">
        <v>0</v>
      </c>
      <c r="AF68" s="406"/>
      <c r="AG68" s="406"/>
      <c r="AH68" s="406">
        <v>249129</v>
      </c>
      <c r="AI68" s="406">
        <v>7</v>
      </c>
      <c r="AJ68" s="406">
        <v>-1.6089283744804561E-3</v>
      </c>
      <c r="AK68" s="406">
        <v>-377</v>
      </c>
      <c r="AL68" s="406">
        <v>0</v>
      </c>
      <c r="AM68" s="406"/>
      <c r="AN68" s="406"/>
      <c r="AO68" s="406"/>
      <c r="AP68" s="406">
        <v>0</v>
      </c>
      <c r="AQ68" s="406">
        <v>0</v>
      </c>
      <c r="AR68" s="406">
        <v>52254</v>
      </c>
      <c r="AS68" s="406">
        <v>-28</v>
      </c>
      <c r="AT68" s="406">
        <v>0</v>
      </c>
      <c r="AU68" s="406">
        <v>52242</v>
      </c>
      <c r="AV68" s="406">
        <v>0</v>
      </c>
      <c r="AW68" s="406"/>
      <c r="AX68" s="406"/>
      <c r="AY68" s="406"/>
      <c r="AZ68" s="406"/>
      <c r="BA68" s="406"/>
      <c r="BB68" s="406"/>
      <c r="BC68" s="406"/>
      <c r="BD68" s="2"/>
      <c r="BE68" s="2"/>
    </row>
    <row r="69" spans="1:58" ht="18" customHeight="1">
      <c r="A69" s="2"/>
      <c r="B69" s="166" t="s">
        <v>332</v>
      </c>
      <c r="C69" s="166"/>
      <c r="D69" s="166"/>
      <c r="E69" s="406"/>
      <c r="F69" s="406"/>
      <c r="G69" s="406"/>
      <c r="H69" s="406"/>
      <c r="I69" s="406"/>
      <c r="J69" s="406"/>
      <c r="K69" s="406"/>
      <c r="L69" s="406"/>
      <c r="M69" s="406"/>
      <c r="N69" s="406"/>
      <c r="O69" s="406">
        <v>21230</v>
      </c>
      <c r="P69" s="406">
        <v>0</v>
      </c>
      <c r="Q69" s="406">
        <v>19182</v>
      </c>
      <c r="R69" s="406">
        <v>0</v>
      </c>
      <c r="S69" s="406">
        <v>0</v>
      </c>
      <c r="T69" s="406">
        <v>0</v>
      </c>
      <c r="U69" s="406">
        <v>0</v>
      </c>
      <c r="V69" s="406">
        <v>0</v>
      </c>
      <c r="W69" s="406">
        <v>0</v>
      </c>
      <c r="X69" s="406">
        <v>0</v>
      </c>
      <c r="Y69" s="406">
        <v>0</v>
      </c>
      <c r="Z69" s="406">
        <v>0</v>
      </c>
      <c r="AA69" s="406">
        <v>25532</v>
      </c>
      <c r="AB69" s="406">
        <v>0</v>
      </c>
      <c r="AC69" s="406">
        <v>0</v>
      </c>
      <c r="AD69" s="406">
        <v>0</v>
      </c>
      <c r="AE69" s="406">
        <v>0</v>
      </c>
      <c r="AF69" s="406"/>
      <c r="AG69" s="406"/>
      <c r="AH69" s="406">
        <v>-251</v>
      </c>
      <c r="AI69" s="406"/>
      <c r="AJ69" s="406">
        <v>-25733</v>
      </c>
      <c r="AK69" s="406"/>
      <c r="AL69" s="406">
        <v>-14.762781249999998</v>
      </c>
      <c r="AM69" s="406"/>
      <c r="AN69" s="406"/>
      <c r="AO69" s="406"/>
      <c r="AP69" s="406">
        <v>0</v>
      </c>
      <c r="AQ69" s="406">
        <v>27673</v>
      </c>
      <c r="AR69" s="406">
        <v>13092</v>
      </c>
      <c r="AS69" s="406">
        <v>146</v>
      </c>
      <c r="AT69" s="406">
        <v>0</v>
      </c>
      <c r="AU69" s="406"/>
      <c r="AV69" s="406">
        <v>0</v>
      </c>
      <c r="AW69" s="406"/>
      <c r="AX69" s="406"/>
      <c r="AY69" s="406">
        <v>-1687</v>
      </c>
      <c r="AZ69" s="406">
        <v>-6.0956309277114542</v>
      </c>
      <c r="BA69" s="406">
        <v>-0.20046030393041292</v>
      </c>
      <c r="BB69" s="406"/>
      <c r="BC69" s="406"/>
      <c r="BD69" s="2"/>
      <c r="BE69" s="2"/>
    </row>
    <row r="70" spans="1:58" ht="18" customHeight="1">
      <c r="A70" s="2"/>
      <c r="B70" s="166" t="s">
        <v>333</v>
      </c>
      <c r="C70" s="166"/>
      <c r="D70" s="166"/>
      <c r="E70" s="407">
        <v>0</v>
      </c>
      <c r="F70" s="407">
        <v>0</v>
      </c>
      <c r="G70" s="407">
        <v>0</v>
      </c>
      <c r="H70" s="407">
        <v>0</v>
      </c>
      <c r="I70" s="407">
        <v>-12782</v>
      </c>
      <c r="J70" s="407">
        <v>-3828</v>
      </c>
      <c r="K70" s="407">
        <v>0</v>
      </c>
      <c r="L70" s="407">
        <v>-2153</v>
      </c>
      <c r="M70" s="407">
        <v>-4226</v>
      </c>
      <c r="N70" s="407">
        <v>0</v>
      </c>
      <c r="O70" s="407">
        <v>0</v>
      </c>
      <c r="P70" s="407">
        <v>0</v>
      </c>
      <c r="Q70" s="407">
        <v>-624</v>
      </c>
      <c r="R70" s="407">
        <v>0</v>
      </c>
      <c r="S70" s="407">
        <v>0</v>
      </c>
      <c r="T70" s="407">
        <v>0</v>
      </c>
      <c r="U70" s="407">
        <v>0</v>
      </c>
      <c r="V70" s="407">
        <v>0</v>
      </c>
      <c r="W70" s="407">
        <v>-7632</v>
      </c>
      <c r="X70" s="407">
        <v>-3052</v>
      </c>
      <c r="Y70" s="407">
        <v>0</v>
      </c>
      <c r="Z70" s="407">
        <v>0</v>
      </c>
      <c r="AA70" s="407"/>
      <c r="AB70" s="407">
        <v>0</v>
      </c>
      <c r="AC70" s="407">
        <v>0</v>
      </c>
      <c r="AD70" s="407">
        <v>0</v>
      </c>
      <c r="AE70" s="407">
        <v>-5366</v>
      </c>
      <c r="AF70" s="407">
        <v>-23</v>
      </c>
      <c r="AG70" s="407">
        <v>-20</v>
      </c>
      <c r="AH70" s="407"/>
      <c r="AI70" s="407"/>
      <c r="AJ70" s="407"/>
      <c r="AK70" s="407"/>
      <c r="AL70" s="407"/>
      <c r="AM70" s="407"/>
      <c r="AN70" s="407"/>
      <c r="AO70" s="407"/>
      <c r="AP70" s="407">
        <v>-913</v>
      </c>
      <c r="AQ70" s="407">
        <v>-39.939909898836959</v>
      </c>
      <c r="AR70" s="407">
        <v>-12525.39232735529</v>
      </c>
      <c r="AS70" s="407">
        <v>-45</v>
      </c>
      <c r="AT70" s="407">
        <v>0</v>
      </c>
      <c r="AU70" s="407">
        <v>-737</v>
      </c>
      <c r="AV70" s="407">
        <v>42.359466116133603</v>
      </c>
      <c r="AW70" s="407">
        <v>54</v>
      </c>
      <c r="AX70" s="407">
        <v>8</v>
      </c>
      <c r="AY70" s="407">
        <v>-133</v>
      </c>
      <c r="AZ70" s="407">
        <v>3.2786544384232741</v>
      </c>
      <c r="BA70" s="407">
        <v>-748.44931560151622</v>
      </c>
      <c r="BB70" s="407">
        <v>-1523.9283315039718</v>
      </c>
      <c r="BC70" s="407">
        <v>-5237.0352533281657</v>
      </c>
      <c r="BD70" s="2"/>
      <c r="BE70" s="2"/>
    </row>
    <row r="71" spans="1:58" ht="18" customHeight="1">
      <c r="A71" s="2"/>
      <c r="B71" s="157"/>
      <c r="C71" s="157"/>
      <c r="D71" s="157"/>
      <c r="E71" s="406"/>
      <c r="F71" s="406"/>
      <c r="G71" s="406"/>
      <c r="H71" s="406"/>
      <c r="I71" s="406"/>
      <c r="J71" s="406"/>
      <c r="K71" s="406"/>
      <c r="L71" s="406"/>
      <c r="M71" s="406"/>
      <c r="N71" s="406"/>
      <c r="O71" s="406"/>
      <c r="P71" s="406"/>
      <c r="Q71" s="406"/>
      <c r="R71" s="406"/>
      <c r="S71" s="406"/>
      <c r="T71" s="406"/>
      <c r="U71" s="406"/>
      <c r="V71" s="406"/>
      <c r="W71" s="406"/>
      <c r="X71" s="406"/>
      <c r="Y71" s="406"/>
      <c r="Z71" s="406"/>
      <c r="AA71" s="406"/>
      <c r="AB71" s="406"/>
      <c r="AC71" s="406"/>
      <c r="AD71" s="406"/>
      <c r="AE71" s="406"/>
      <c r="AF71" s="406"/>
      <c r="AG71" s="406"/>
      <c r="AH71" s="406"/>
      <c r="AI71" s="406"/>
      <c r="AJ71" s="406"/>
      <c r="AK71" s="406"/>
      <c r="AL71" s="406"/>
      <c r="AM71" s="406"/>
      <c r="AN71" s="406"/>
      <c r="AO71" s="406"/>
      <c r="AP71" s="406"/>
      <c r="AQ71" s="406"/>
      <c r="AR71" s="406"/>
      <c r="AS71" s="406"/>
      <c r="AT71" s="406"/>
      <c r="AU71" s="406"/>
      <c r="AV71" s="406"/>
      <c r="AW71" s="406"/>
      <c r="AX71" s="406"/>
      <c r="AY71" s="406"/>
      <c r="AZ71" s="406"/>
      <c r="BA71" s="406"/>
      <c r="BB71" s="406"/>
      <c r="BC71" s="406"/>
      <c r="BD71" s="2"/>
      <c r="BE71" s="2"/>
    </row>
    <row r="72" spans="1:58" s="30" customFormat="1" ht="18" customHeight="1">
      <c r="A72" s="13"/>
      <c r="B72" s="165" t="s">
        <v>334</v>
      </c>
      <c r="C72" s="165"/>
      <c r="D72" s="165"/>
      <c r="E72" s="405">
        <v>-22048.309584584185</v>
      </c>
      <c r="F72" s="405">
        <v>-14721.099157053923</v>
      </c>
      <c r="G72" s="405">
        <v>-41417.378881777899</v>
      </c>
      <c r="H72" s="405">
        <v>35117.474611399753</v>
      </c>
      <c r="I72" s="405">
        <v>-28635.557766723763</v>
      </c>
      <c r="J72" s="405">
        <v>46947</v>
      </c>
      <c r="K72" s="405">
        <v>-53922</v>
      </c>
      <c r="L72" s="405">
        <v>-6324</v>
      </c>
      <c r="M72" s="405">
        <v>41043</v>
      </c>
      <c r="N72" s="405">
        <v>-68701</v>
      </c>
      <c r="O72" s="405">
        <v>-44075</v>
      </c>
      <c r="P72" s="405">
        <v>-27321</v>
      </c>
      <c r="Q72" s="405">
        <v>43527</v>
      </c>
      <c r="R72" s="405">
        <v>14916</v>
      </c>
      <c r="S72" s="405">
        <v>-79027</v>
      </c>
      <c r="T72" s="405">
        <v>-66398</v>
      </c>
      <c r="U72" s="405">
        <v>11048</v>
      </c>
      <c r="V72" s="405">
        <v>-28360</v>
      </c>
      <c r="W72" s="405">
        <v>-61441</v>
      </c>
      <c r="X72" s="405">
        <v>84297</v>
      </c>
      <c r="Y72" s="405">
        <v>1990</v>
      </c>
      <c r="Z72" s="405">
        <v>-77477</v>
      </c>
      <c r="AA72" s="405">
        <v>8193</v>
      </c>
      <c r="AB72" s="405">
        <v>23986</v>
      </c>
      <c r="AC72" s="405">
        <v>1990.4610931358766</v>
      </c>
      <c r="AD72" s="405">
        <v>13439</v>
      </c>
      <c r="AE72" s="405">
        <v>29621</v>
      </c>
      <c r="AF72" s="405">
        <v>4350</v>
      </c>
      <c r="AG72" s="405">
        <v>47237</v>
      </c>
      <c r="AH72" s="405">
        <v>-18901</v>
      </c>
      <c r="AI72" s="405">
        <v>27119</v>
      </c>
      <c r="AJ72" s="405">
        <v>75453</v>
      </c>
      <c r="AK72" s="405">
        <v>107522</v>
      </c>
      <c r="AL72" s="405">
        <v>-67670</v>
      </c>
      <c r="AM72" s="405">
        <v>-111057</v>
      </c>
      <c r="AN72" s="405">
        <v>-94736</v>
      </c>
      <c r="AO72" s="405">
        <v>46464</v>
      </c>
      <c r="AP72" s="405">
        <v>-96461</v>
      </c>
      <c r="AQ72" s="405">
        <v>-7917</v>
      </c>
      <c r="AR72" s="405">
        <v>-3814</v>
      </c>
      <c r="AS72" s="405">
        <v>-43840</v>
      </c>
      <c r="AT72" s="405">
        <v>-110867</v>
      </c>
      <c r="AU72" s="405">
        <v>-5451</v>
      </c>
      <c r="AV72" s="405">
        <v>-51264</v>
      </c>
      <c r="AW72" s="405">
        <v>-77115</v>
      </c>
      <c r="AX72" s="405">
        <v>-66096</v>
      </c>
      <c r="AY72" s="405">
        <v>-107541</v>
      </c>
      <c r="AZ72" s="405">
        <v>-46710.363660423056</v>
      </c>
      <c r="BA72" s="405">
        <v>-57439.11609468286</v>
      </c>
      <c r="BB72" s="405">
        <v>-86483</v>
      </c>
      <c r="BC72" s="405">
        <v>-103037</v>
      </c>
      <c r="BD72" s="13"/>
      <c r="BE72" s="13"/>
    </row>
    <row r="73" spans="1:58" ht="18" customHeight="1">
      <c r="A73" s="2"/>
      <c r="B73" s="157"/>
      <c r="C73" s="157"/>
      <c r="D73" s="157"/>
      <c r="E73" s="407"/>
      <c r="F73" s="407"/>
      <c r="G73" s="407"/>
      <c r="H73" s="407"/>
      <c r="I73" s="407"/>
      <c r="J73" s="407"/>
      <c r="K73" s="407"/>
      <c r="L73" s="407"/>
      <c r="M73" s="407"/>
      <c r="N73" s="407"/>
      <c r="O73" s="407"/>
      <c r="P73" s="407"/>
      <c r="Q73" s="407"/>
      <c r="R73" s="407"/>
      <c r="S73" s="407"/>
      <c r="T73" s="407"/>
      <c r="U73" s="407"/>
      <c r="V73" s="407"/>
      <c r="W73" s="407"/>
      <c r="X73" s="407"/>
      <c r="Y73" s="407"/>
      <c r="Z73" s="407"/>
      <c r="AA73" s="407"/>
      <c r="AB73" s="407"/>
      <c r="AC73" s="407"/>
      <c r="AD73" s="407"/>
      <c r="AE73" s="407"/>
      <c r="AF73" s="407"/>
      <c r="AG73" s="407"/>
      <c r="AH73" s="407"/>
      <c r="AI73" s="407"/>
      <c r="AJ73" s="407"/>
      <c r="AK73" s="407"/>
      <c r="AL73" s="407"/>
      <c r="AM73" s="407"/>
      <c r="AN73" s="407"/>
      <c r="AO73" s="407"/>
      <c r="AP73" s="407"/>
      <c r="AQ73" s="407"/>
      <c r="AR73" s="407"/>
      <c r="AS73" s="407"/>
      <c r="AT73" s="407"/>
      <c r="AU73" s="407"/>
      <c r="AV73" s="407"/>
      <c r="AW73" s="407"/>
      <c r="AX73" s="407"/>
      <c r="AY73" s="407"/>
      <c r="AZ73" s="407"/>
      <c r="BA73" s="407"/>
      <c r="BB73" s="407"/>
      <c r="BC73" s="407"/>
      <c r="BD73" s="2"/>
      <c r="BE73" s="2"/>
    </row>
    <row r="74" spans="1:58" s="30" customFormat="1" ht="34.5" customHeight="1">
      <c r="A74" s="13"/>
      <c r="B74" s="161" t="s">
        <v>335</v>
      </c>
      <c r="C74" s="161"/>
      <c r="D74" s="161"/>
      <c r="E74" s="405">
        <v>-972.09395001649682</v>
      </c>
      <c r="F74" s="405">
        <v>2601.0827204847446</v>
      </c>
      <c r="G74" s="405">
        <v>-7170.8324606213064</v>
      </c>
      <c r="H74" s="405">
        <v>8084.6010267162492</v>
      </c>
      <c r="I74" s="405">
        <v>-7395.8346533625299</v>
      </c>
      <c r="J74" s="405">
        <v>19443</v>
      </c>
      <c r="K74" s="405">
        <v>-9779.6379540000053</v>
      </c>
      <c r="L74" s="405">
        <v>4078.6379540000053</v>
      </c>
      <c r="M74" s="405">
        <v>26595.160562000005</v>
      </c>
      <c r="N74" s="405">
        <v>-32494.879497999995</v>
      </c>
      <c r="O74" s="405">
        <v>-5628.8382929999934</v>
      </c>
      <c r="P74" s="405">
        <v>8238.7177910000028</v>
      </c>
      <c r="Q74" s="405">
        <v>-11148</v>
      </c>
      <c r="R74" s="405">
        <v>5658.9186860000045</v>
      </c>
      <c r="S74" s="405">
        <v>-17982</v>
      </c>
      <c r="T74" s="405">
        <v>-1497</v>
      </c>
      <c r="U74" s="405">
        <v>31528</v>
      </c>
      <c r="V74" s="405">
        <v>-16049</v>
      </c>
      <c r="W74" s="405">
        <v>-5170</v>
      </c>
      <c r="X74" s="405">
        <v>-6368</v>
      </c>
      <c r="Y74" s="405">
        <v>827</v>
      </c>
      <c r="Z74" s="405">
        <v>11585</v>
      </c>
      <c r="AA74" s="405">
        <v>-8655</v>
      </c>
      <c r="AB74" s="405">
        <v>-5803</v>
      </c>
      <c r="AC74" s="405">
        <v>827</v>
      </c>
      <c r="AD74" s="405">
        <v>-4940</v>
      </c>
      <c r="AE74" s="405">
        <v>-12595</v>
      </c>
      <c r="AF74" s="405">
        <v>-551</v>
      </c>
      <c r="AG74" s="405">
        <v>25604</v>
      </c>
      <c r="AH74" s="405">
        <v>-3565</v>
      </c>
      <c r="AI74" s="405">
        <v>48046</v>
      </c>
      <c r="AJ74" s="405">
        <v>-2847</v>
      </c>
      <c r="AK74" s="405">
        <v>26176</v>
      </c>
      <c r="AL74" s="405">
        <v>-681</v>
      </c>
      <c r="AM74" s="405">
        <v>-16825</v>
      </c>
      <c r="AN74" s="405">
        <v>-4014</v>
      </c>
      <c r="AO74" s="405">
        <v>-14436</v>
      </c>
      <c r="AP74" s="405">
        <v>5731</v>
      </c>
      <c r="AQ74" s="405">
        <v>-22854</v>
      </c>
      <c r="AR74" s="405">
        <v>16762</v>
      </c>
      <c r="AS74" s="405">
        <v>-20200</v>
      </c>
      <c r="AT74" s="405">
        <v>11807</v>
      </c>
      <c r="AU74" s="405">
        <v>-4250</v>
      </c>
      <c r="AV74" s="405">
        <v>29.3</v>
      </c>
      <c r="AW74" s="405">
        <v>10163</v>
      </c>
      <c r="AX74" s="405">
        <v>-16380</v>
      </c>
      <c r="AY74" s="405">
        <v>-1641</v>
      </c>
      <c r="AZ74" s="405">
        <v>15673.846007745829</v>
      </c>
      <c r="BA74" s="405">
        <v>11504.617153742467</v>
      </c>
      <c r="BB74" s="405">
        <v>-16457.400000000001</v>
      </c>
      <c r="BC74" s="405">
        <v>2006.95</v>
      </c>
      <c r="BD74" s="13"/>
      <c r="BE74" s="13"/>
      <c r="BF74" s="265"/>
    </row>
    <row r="75" spans="1:58" ht="18" customHeight="1">
      <c r="A75" s="2"/>
      <c r="B75" s="167" t="s">
        <v>336</v>
      </c>
      <c r="C75" s="167"/>
      <c r="D75" s="167"/>
      <c r="E75" s="406">
        <v>680.50631421969092</v>
      </c>
      <c r="F75" s="406">
        <v>-2431.2127317642621</v>
      </c>
      <c r="G75" s="406">
        <v>1669.563213641432</v>
      </c>
      <c r="H75" s="406">
        <v>-725.60167107804727</v>
      </c>
      <c r="I75" s="406">
        <v>-140.33084551913771</v>
      </c>
      <c r="J75" s="406">
        <v>-84</v>
      </c>
      <c r="K75" s="406">
        <v>-826.36204599999473</v>
      </c>
      <c r="L75" s="406">
        <v>-301.27990700000373</v>
      </c>
      <c r="M75" s="406">
        <v>-863.16056200000457</v>
      </c>
      <c r="N75" s="406">
        <v>-475</v>
      </c>
      <c r="O75" s="406">
        <v>46</v>
      </c>
      <c r="P75" s="406">
        <v>24</v>
      </c>
      <c r="Q75" s="406">
        <v>448</v>
      </c>
      <c r="R75" s="406">
        <v>1737</v>
      </c>
      <c r="S75" s="406">
        <v>-314</v>
      </c>
      <c r="T75" s="406">
        <v>64</v>
      </c>
      <c r="U75" s="406">
        <v>-147</v>
      </c>
      <c r="V75" s="406">
        <v>-821</v>
      </c>
      <c r="W75" s="406">
        <v>-157</v>
      </c>
      <c r="X75" s="406">
        <v>88</v>
      </c>
      <c r="Y75" s="406">
        <v>135</v>
      </c>
      <c r="Z75" s="406">
        <v>-14</v>
      </c>
      <c r="AA75" s="406">
        <v>-9</v>
      </c>
      <c r="AB75" s="406">
        <v>-276</v>
      </c>
      <c r="AC75" s="406">
        <v>135</v>
      </c>
      <c r="AD75" s="406">
        <v>977</v>
      </c>
      <c r="AE75" s="406">
        <v>2104</v>
      </c>
      <c r="AF75" s="406">
        <v>-1221</v>
      </c>
      <c r="AG75" s="406">
        <v>-531</v>
      </c>
      <c r="AH75" s="406">
        <v>-101</v>
      </c>
      <c r="AI75" s="406">
        <v>2560</v>
      </c>
      <c r="AJ75" s="406">
        <v>-1.6428423507145453</v>
      </c>
      <c r="AK75" s="406">
        <v>6476.0411170273255</v>
      </c>
      <c r="AL75" s="406">
        <v>-364.32529165028518</v>
      </c>
      <c r="AM75" s="406">
        <v>-2295.16913044891</v>
      </c>
      <c r="AN75" s="406">
        <v>-1862.9544963073699</v>
      </c>
      <c r="AO75" s="406">
        <v>550.07079065717562</v>
      </c>
      <c r="AP75" s="406">
        <v>711.00090954427242</v>
      </c>
      <c r="AQ75" s="406">
        <v>-211</v>
      </c>
      <c r="AR75" s="406">
        <v>507.36302924063307</v>
      </c>
      <c r="AS75" s="406">
        <v>2912</v>
      </c>
      <c r="AT75" s="406">
        <v>2355.2534226823354</v>
      </c>
      <c r="AU75" s="406">
        <v>1034</v>
      </c>
      <c r="AV75" s="406">
        <v>-2171.7971931112675</v>
      </c>
      <c r="AW75" s="406">
        <v>-2739</v>
      </c>
      <c r="AX75" s="406">
        <v>-1504</v>
      </c>
      <c r="AY75" s="406">
        <v>-2942.4490965104642</v>
      </c>
      <c r="AZ75" s="406">
        <v>-6200.7170095162137</v>
      </c>
      <c r="BA75" s="406">
        <v>1794.7030334063211</v>
      </c>
      <c r="BB75" s="406">
        <v>1886.1463239441885</v>
      </c>
      <c r="BC75" s="406">
        <v>-633.13660336032581</v>
      </c>
      <c r="BD75" s="2"/>
      <c r="BE75" s="2"/>
    </row>
    <row r="76" spans="1:58">
      <c r="A76" s="2"/>
      <c r="B76" s="159"/>
      <c r="C76" s="159"/>
      <c r="D76" s="159"/>
      <c r="E76" s="406"/>
      <c r="F76" s="406"/>
      <c r="G76" s="406"/>
      <c r="H76" s="406"/>
      <c r="I76" s="406"/>
      <c r="J76" s="406"/>
      <c r="K76" s="406"/>
      <c r="L76" s="406"/>
      <c r="M76" s="406"/>
      <c r="N76" s="406"/>
      <c r="O76" s="406"/>
      <c r="P76" s="406"/>
      <c r="Q76" s="406"/>
      <c r="R76" s="406"/>
      <c r="S76" s="406"/>
      <c r="T76" s="406"/>
      <c r="U76" s="406"/>
      <c r="V76" s="406"/>
      <c r="W76" s="406"/>
      <c r="X76" s="406"/>
      <c r="Y76" s="406"/>
      <c r="Z76" s="406"/>
      <c r="AA76" s="406"/>
      <c r="AB76" s="406"/>
      <c r="AC76" s="406"/>
      <c r="AD76" s="406"/>
      <c r="AE76" s="406"/>
      <c r="AF76" s="406"/>
      <c r="AG76" s="406"/>
      <c r="AH76" s="406"/>
      <c r="AI76" s="406"/>
      <c r="AJ76" s="406"/>
      <c r="AK76" s="406"/>
      <c r="AL76" s="406"/>
      <c r="AM76" s="406"/>
      <c r="AN76" s="406"/>
      <c r="AO76" s="406"/>
      <c r="AP76" s="406"/>
      <c r="AQ76" s="406"/>
      <c r="AR76" s="406"/>
      <c r="AS76" s="406"/>
      <c r="AT76" s="406"/>
      <c r="AU76" s="406"/>
      <c r="AV76" s="406"/>
      <c r="AW76" s="406"/>
      <c r="AX76" s="406"/>
      <c r="AY76" s="406"/>
      <c r="AZ76" s="406"/>
      <c r="BA76" s="406"/>
      <c r="BB76" s="406"/>
      <c r="BC76" s="406"/>
      <c r="BD76" s="2"/>
      <c r="BE76" s="2"/>
    </row>
    <row r="77" spans="1:58">
      <c r="A77" s="2"/>
      <c r="B77" s="159" t="s">
        <v>337</v>
      </c>
      <c r="C77" s="159"/>
      <c r="D77" s="159"/>
      <c r="E77" s="406">
        <v>8329.0626030000003</v>
      </c>
      <c r="F77" s="406">
        <v>8037.4057549999998</v>
      </c>
      <c r="G77" s="406">
        <v>8206.5583729999998</v>
      </c>
      <c r="H77" s="406">
        <v>2704.9711069999998</v>
      </c>
      <c r="I77" s="406">
        <v>10064.324902</v>
      </c>
      <c r="J77" s="406">
        <v>1312</v>
      </c>
      <c r="K77" s="406">
        <v>20671</v>
      </c>
      <c r="L77" s="406">
        <v>10065</v>
      </c>
      <c r="M77" s="406">
        <v>13843</v>
      </c>
      <c r="N77" s="406">
        <v>39575</v>
      </c>
      <c r="O77" s="406">
        <v>6605</v>
      </c>
      <c r="P77" s="406">
        <v>1022</v>
      </c>
      <c r="Q77" s="406">
        <v>9285</v>
      </c>
      <c r="R77" s="406">
        <v>-1415</v>
      </c>
      <c r="S77" s="406">
        <v>5981</v>
      </c>
      <c r="T77" s="406">
        <v>-12315.155551854094</v>
      </c>
      <c r="U77" s="406">
        <v>-13748.155551854094</v>
      </c>
      <c r="V77" s="406">
        <v>17635</v>
      </c>
      <c r="W77" s="406">
        <v>765</v>
      </c>
      <c r="X77" s="406">
        <v>-4562</v>
      </c>
      <c r="Y77" s="406">
        <v>-10842</v>
      </c>
      <c r="Z77" s="406">
        <v>-9880</v>
      </c>
      <c r="AA77" s="406">
        <v>1691</v>
      </c>
      <c r="AB77" s="406">
        <v>-6973</v>
      </c>
      <c r="AC77" s="406">
        <v>-10842</v>
      </c>
      <c r="AD77" s="406">
        <v>28468</v>
      </c>
      <c r="AE77" s="406">
        <v>24505</v>
      </c>
      <c r="AF77" s="406">
        <v>14014</v>
      </c>
      <c r="AG77" s="406">
        <v>12242</v>
      </c>
      <c r="AH77" s="406">
        <v>53793</v>
      </c>
      <c r="AI77" s="406">
        <v>50127</v>
      </c>
      <c r="AJ77" s="406">
        <v>100733</v>
      </c>
      <c r="AK77" s="406">
        <v>97886</v>
      </c>
      <c r="AL77" s="406">
        <v>130538.31834974795</v>
      </c>
      <c r="AM77" s="406">
        <v>129493.99305809767</v>
      </c>
      <c r="AN77" s="406">
        <v>110373.82392764876</v>
      </c>
      <c r="AO77" s="406">
        <v>104516.86943134139</v>
      </c>
      <c r="AP77" s="406">
        <v>90629.940221998564</v>
      </c>
      <c r="AQ77" s="406">
        <v>97071.941131542844</v>
      </c>
      <c r="AR77" s="406">
        <v>74005.741558451642</v>
      </c>
      <c r="AS77" s="406">
        <v>91275</v>
      </c>
      <c r="AT77" s="406">
        <v>79181.234810119626</v>
      </c>
      <c r="AU77" s="406">
        <v>88149</v>
      </c>
      <c r="AV77" s="406">
        <v>84933.043350720734</v>
      </c>
      <c r="AW77" s="406">
        <v>82790</v>
      </c>
      <c r="AX77" s="406">
        <v>90214</v>
      </c>
      <c r="AY77" s="406">
        <v>72328.504771786495</v>
      </c>
      <c r="AZ77" s="406">
        <v>67748.055675276031</v>
      </c>
      <c r="BA77" s="406">
        <v>77221.184673505646</v>
      </c>
      <c r="BB77" s="406">
        <v>90521.258395514218</v>
      </c>
      <c r="BC77" s="406">
        <v>75949.581502205489</v>
      </c>
      <c r="BD77" s="2"/>
      <c r="BE77" s="2"/>
    </row>
    <row r="78" spans="1:58" s="30" customFormat="1">
      <c r="A78" s="13"/>
      <c r="B78" s="163" t="s">
        <v>338</v>
      </c>
      <c r="C78" s="163"/>
      <c r="D78" s="163"/>
      <c r="E78" s="405">
        <v>8037.474967203194</v>
      </c>
      <c r="F78" s="405">
        <v>8207.2757437204818</v>
      </c>
      <c r="G78" s="405">
        <v>2705.289126020125</v>
      </c>
      <c r="H78" s="405">
        <v>10063.970462638201</v>
      </c>
      <c r="I78" s="405">
        <v>2528.1594031183322</v>
      </c>
      <c r="J78" s="405">
        <v>20671</v>
      </c>
      <c r="K78" s="405">
        <v>10065</v>
      </c>
      <c r="L78" s="405">
        <v>13843</v>
      </c>
      <c r="M78" s="405">
        <v>39575</v>
      </c>
      <c r="N78" s="405">
        <v>6605</v>
      </c>
      <c r="O78" s="405">
        <v>1022</v>
      </c>
      <c r="P78" s="405">
        <v>9285</v>
      </c>
      <c r="Q78" s="405">
        <v>-1415</v>
      </c>
      <c r="R78" s="405">
        <v>5981</v>
      </c>
      <c r="S78" s="405">
        <v>-12315</v>
      </c>
      <c r="T78" s="405">
        <v>-13748.155551854094</v>
      </c>
      <c r="U78" s="405">
        <v>17632.844448145908</v>
      </c>
      <c r="V78" s="405">
        <v>765</v>
      </c>
      <c r="W78" s="405">
        <v>-4562</v>
      </c>
      <c r="X78" s="405">
        <v>-10842</v>
      </c>
      <c r="Y78" s="405">
        <v>-9880</v>
      </c>
      <c r="Z78" s="405">
        <v>1691</v>
      </c>
      <c r="AA78" s="405">
        <v>-6973</v>
      </c>
      <c r="AB78" s="405">
        <v>-13052</v>
      </c>
      <c r="AC78" s="405">
        <v>-9880</v>
      </c>
      <c r="AD78" s="405">
        <v>24505</v>
      </c>
      <c r="AE78" s="405">
        <v>14014</v>
      </c>
      <c r="AF78" s="405">
        <v>12242</v>
      </c>
      <c r="AG78" s="405">
        <v>53793</v>
      </c>
      <c r="AH78" s="405">
        <v>50127</v>
      </c>
      <c r="AI78" s="405">
        <v>100733</v>
      </c>
      <c r="AJ78" s="405">
        <v>97886</v>
      </c>
      <c r="AK78" s="405">
        <v>130539.31834974795</v>
      </c>
      <c r="AL78" s="405">
        <v>129492.99305809767</v>
      </c>
      <c r="AM78" s="405">
        <v>110373.82392764876</v>
      </c>
      <c r="AN78" s="405">
        <v>104496.86943134139</v>
      </c>
      <c r="AO78" s="405">
        <v>90629.940221998564</v>
      </c>
      <c r="AP78" s="405">
        <v>97071.941131542844</v>
      </c>
      <c r="AQ78" s="405">
        <v>74005.741558451642</v>
      </c>
      <c r="AR78" s="405">
        <v>91275.104587692273</v>
      </c>
      <c r="AS78" s="405">
        <v>73987</v>
      </c>
      <c r="AT78" s="405">
        <v>88149</v>
      </c>
      <c r="AU78" s="405">
        <v>84933</v>
      </c>
      <c r="AV78" s="405">
        <v>82789.646157609459</v>
      </c>
      <c r="AW78" s="405">
        <v>90214</v>
      </c>
      <c r="AX78" s="405">
        <v>72329</v>
      </c>
      <c r="AY78" s="405">
        <v>67747.055675276031</v>
      </c>
      <c r="AZ78" s="405">
        <v>77221.184673505646</v>
      </c>
      <c r="BA78" s="405">
        <v>90520.50486065443</v>
      </c>
      <c r="BB78" s="405">
        <v>75949.781502205486</v>
      </c>
      <c r="BC78" s="405">
        <v>77324.144898845159</v>
      </c>
      <c r="BD78" s="13"/>
      <c r="BE78" s="13"/>
    </row>
    <row r="79" spans="1:58" ht="16.5" customHeight="1">
      <c r="A79" s="2"/>
      <c r="B79" s="2"/>
      <c r="C79" s="2"/>
      <c r="D79" s="2"/>
      <c r="E79" s="409"/>
      <c r="F79" s="409"/>
      <c r="G79" s="409"/>
      <c r="H79" s="409"/>
      <c r="I79" s="409"/>
      <c r="J79" s="409"/>
      <c r="K79" s="409"/>
      <c r="L79" s="409"/>
      <c r="M79" s="409"/>
      <c r="N79" s="409"/>
      <c r="O79" s="409"/>
      <c r="P79" s="409"/>
      <c r="Q79" s="409"/>
      <c r="R79" s="409"/>
      <c r="S79" s="409"/>
      <c r="T79" s="409"/>
      <c r="U79" s="409"/>
      <c r="V79" s="409"/>
      <c r="W79" s="409"/>
      <c r="X79" s="409"/>
      <c r="Y79" s="409"/>
      <c r="Z79" s="409"/>
      <c r="AA79" s="409"/>
      <c r="AB79" s="409"/>
      <c r="AC79" s="409"/>
      <c r="AD79" s="409"/>
      <c r="AE79" s="409"/>
      <c r="AF79" s="409"/>
      <c r="AG79" s="409"/>
      <c r="AH79" s="409"/>
      <c r="AI79" s="409"/>
      <c r="AJ79" s="409"/>
      <c r="AK79" s="409"/>
      <c r="AL79" s="409"/>
      <c r="AM79" s="409"/>
      <c r="AN79" s="409"/>
      <c r="AO79" s="409"/>
      <c r="AP79" s="409"/>
      <c r="AQ79" s="409"/>
      <c r="AR79" s="409"/>
      <c r="AS79" s="409"/>
      <c r="AT79" s="409"/>
      <c r="AU79" s="409"/>
      <c r="AV79" s="409"/>
      <c r="AW79" s="409"/>
      <c r="AX79" s="409"/>
      <c r="AY79" s="409"/>
      <c r="AZ79" s="409"/>
      <c r="BA79" s="409"/>
      <c r="BB79" s="409"/>
      <c r="BC79" s="409"/>
      <c r="BD79" s="2"/>
      <c r="BE79" s="2"/>
    </row>
    <row r="80" spans="1:58" s="30" customFormat="1" outlineLevel="1">
      <c r="A80" s="508" t="s">
        <v>390</v>
      </c>
      <c r="B80" s="508"/>
      <c r="C80" s="508"/>
      <c r="D80" s="508"/>
      <c r="E80" s="518" t="s">
        <v>3</v>
      </c>
      <c r="F80" s="518" t="s">
        <v>4</v>
      </c>
      <c r="G80" s="518" t="s">
        <v>5</v>
      </c>
      <c r="H80" s="518" t="s">
        <v>6</v>
      </c>
      <c r="I80" s="518" t="s">
        <v>7</v>
      </c>
      <c r="J80" s="518" t="s">
        <v>8</v>
      </c>
      <c r="K80" s="518" t="s">
        <v>9</v>
      </c>
      <c r="L80" s="518" t="s">
        <v>10</v>
      </c>
      <c r="M80" s="518" t="s">
        <v>11</v>
      </c>
      <c r="N80" s="518" t="s">
        <v>12</v>
      </c>
      <c r="O80" s="518" t="s">
        <v>13</v>
      </c>
      <c r="P80" s="518" t="s">
        <v>14</v>
      </c>
      <c r="Q80" s="518" t="s">
        <v>15</v>
      </c>
      <c r="R80" s="518" t="s">
        <v>16</v>
      </c>
      <c r="S80" s="518" t="s">
        <v>17</v>
      </c>
      <c r="T80" s="518" t="s">
        <v>18</v>
      </c>
      <c r="U80" s="518" t="s">
        <v>19</v>
      </c>
      <c r="V80" s="518" t="s">
        <v>20</v>
      </c>
      <c r="W80" s="518" t="s">
        <v>24</v>
      </c>
      <c r="X80" s="518" t="s">
        <v>25</v>
      </c>
      <c r="Y80" s="518" t="s">
        <v>26</v>
      </c>
      <c r="Z80" s="518" t="str">
        <f>Z1</f>
        <v>1Q18</v>
      </c>
      <c r="AA80" s="518" t="str">
        <f>AA1</f>
        <v>2Q18</v>
      </c>
      <c r="AB80" s="518" t="s">
        <v>575</v>
      </c>
      <c r="AC80" s="518" t="s">
        <v>585</v>
      </c>
      <c r="AD80" s="518" t="str">
        <f t="shared" ref="AD80:AI80" si="0">AD1</f>
        <v>1Q19</v>
      </c>
      <c r="AE80" s="516" t="str">
        <f t="shared" si="0"/>
        <v>2Q19</v>
      </c>
      <c r="AF80" s="516" t="str">
        <f t="shared" si="0"/>
        <v>3Q19</v>
      </c>
      <c r="AG80" s="516" t="str">
        <f t="shared" si="0"/>
        <v>4Q19</v>
      </c>
      <c r="AH80" s="516" t="str">
        <f t="shared" si="0"/>
        <v>1Q20</v>
      </c>
      <c r="AI80" s="516" t="str">
        <f t="shared" si="0"/>
        <v>2Q20</v>
      </c>
      <c r="AJ80" s="516" t="str">
        <f t="shared" ref="AJ80:AN80" si="1">AJ1</f>
        <v>3Q20</v>
      </c>
      <c r="AK80" s="516" t="str">
        <f t="shared" si="1"/>
        <v>4Q20</v>
      </c>
      <c r="AL80" s="516" t="str">
        <f t="shared" si="1"/>
        <v>1Q21</v>
      </c>
      <c r="AM80" s="516" t="str">
        <f t="shared" si="1"/>
        <v>2Q21</v>
      </c>
      <c r="AN80" s="516" t="str">
        <f t="shared" si="1"/>
        <v>3Q21</v>
      </c>
      <c r="AO80" s="516" t="str">
        <f t="shared" ref="AO80" si="2">AO1</f>
        <v>4Q21</v>
      </c>
      <c r="AP80" s="516" t="str">
        <f t="shared" ref="AP80:AQ80" si="3">AP1</f>
        <v>1Q22</v>
      </c>
      <c r="AQ80" s="516" t="str">
        <f t="shared" si="3"/>
        <v>2Q22</v>
      </c>
      <c r="AR80" s="516" t="str">
        <f t="shared" ref="AR80:AS80" si="4">AR1</f>
        <v>3Q22</v>
      </c>
      <c r="AS80" s="516" t="str">
        <f t="shared" si="4"/>
        <v>4Q22</v>
      </c>
      <c r="AT80" s="516" t="str">
        <f t="shared" ref="AT80:AU80" si="5">AT1</f>
        <v>1Q23</v>
      </c>
      <c r="AU80" s="516" t="str">
        <f t="shared" si="5"/>
        <v>2Q23</v>
      </c>
      <c r="AV80" s="516" t="str">
        <f t="shared" ref="AV80:AW80" si="6">AV1</f>
        <v>3Q23</v>
      </c>
      <c r="AW80" s="516" t="str">
        <f t="shared" si="6"/>
        <v>4Q23</v>
      </c>
      <c r="AX80" s="516" t="str">
        <f t="shared" ref="AX80:AY80" si="7">AX1</f>
        <v>1Q24</v>
      </c>
      <c r="AY80" s="516" t="str">
        <f t="shared" si="7"/>
        <v>2Q24</v>
      </c>
      <c r="AZ80" s="516" t="str">
        <f t="shared" ref="AZ80:BA80" si="8">AZ1</f>
        <v>3Q24</v>
      </c>
      <c r="BA80" s="516" t="str">
        <f t="shared" si="8"/>
        <v>4Q24</v>
      </c>
      <c r="BB80" s="516" t="str">
        <f t="shared" ref="BB80:BC80" si="9">BB1</f>
        <v>1Q25</v>
      </c>
      <c r="BC80" s="516" t="str">
        <f t="shared" si="9"/>
        <v>2Q25</v>
      </c>
      <c r="BD80" s="508"/>
      <c r="BE80" s="508" t="s">
        <v>209</v>
      </c>
    </row>
    <row r="81" spans="1:57" ht="16.5" customHeight="1" outlineLevel="1">
      <c r="A81" s="2"/>
      <c r="B81" s="2"/>
      <c r="C81" s="2"/>
      <c r="D81" s="2"/>
      <c r="E81" s="409"/>
      <c r="F81" s="409"/>
      <c r="G81" s="409"/>
      <c r="H81" s="409"/>
      <c r="I81" s="409"/>
      <c r="J81" s="409"/>
      <c r="K81" s="409"/>
      <c r="L81" s="409"/>
      <c r="M81" s="409"/>
      <c r="N81" s="409"/>
      <c r="O81" s="409"/>
      <c r="P81" s="409"/>
      <c r="Q81" s="409"/>
      <c r="R81" s="409"/>
      <c r="S81" s="409"/>
      <c r="T81" s="409"/>
      <c r="U81" s="409"/>
      <c r="V81" s="409"/>
      <c r="W81" s="409"/>
      <c r="X81" s="409"/>
      <c r="Y81" s="409"/>
      <c r="Z81" s="409"/>
      <c r="AA81" s="409"/>
      <c r="AB81" s="409"/>
      <c r="AC81" s="409"/>
      <c r="AD81" s="409"/>
      <c r="AE81" s="409"/>
      <c r="AF81" s="409"/>
      <c r="AG81" s="409"/>
      <c r="AH81" s="409"/>
      <c r="AI81" s="409"/>
      <c r="AJ81" s="409"/>
      <c r="AK81" s="409"/>
      <c r="AL81" s="409"/>
      <c r="AM81" s="409"/>
      <c r="AN81" s="409"/>
      <c r="AO81" s="409"/>
      <c r="AP81" s="409"/>
      <c r="AQ81" s="409"/>
      <c r="AR81" s="409"/>
      <c r="AS81" s="409"/>
      <c r="AT81" s="409"/>
      <c r="AU81" s="409"/>
      <c r="AV81" s="409"/>
      <c r="AW81" s="409"/>
      <c r="AX81" s="409"/>
      <c r="AY81" s="409"/>
      <c r="AZ81" s="409"/>
      <c r="BA81" s="409"/>
      <c r="BB81" s="409"/>
      <c r="BC81" s="409"/>
      <c r="BD81" s="2"/>
      <c r="BE81" s="2"/>
    </row>
    <row r="82" spans="1:57" ht="17.25" customHeight="1" outlineLevel="1">
      <c r="A82" s="2"/>
      <c r="B82" s="2" t="s">
        <v>352</v>
      </c>
      <c r="C82" s="2"/>
      <c r="D82" s="2"/>
      <c r="E82" s="410">
        <v>497153.99831699999</v>
      </c>
      <c r="F82" s="410">
        <v>577569.09267200006</v>
      </c>
      <c r="G82" s="410">
        <v>559292.70804400009</v>
      </c>
      <c r="H82" s="410">
        <v>603300.18825299991</v>
      </c>
      <c r="I82" s="410">
        <v>615486.35784999991</v>
      </c>
      <c r="J82" s="410">
        <v>542793</v>
      </c>
      <c r="K82" s="410">
        <v>562929</v>
      </c>
      <c r="L82" s="410">
        <v>562577</v>
      </c>
      <c r="M82" s="410">
        <v>549919</v>
      </c>
      <c r="N82" s="410">
        <v>572829</v>
      </c>
      <c r="O82" s="410">
        <v>594684</v>
      </c>
      <c r="P82" s="410">
        <v>470277</v>
      </c>
      <c r="Q82" s="410">
        <v>452283.08</v>
      </c>
      <c r="R82" s="410">
        <v>527883</v>
      </c>
      <c r="S82" s="410">
        <v>528018.99776499998</v>
      </c>
      <c r="T82" s="410">
        <v>506807.73031000001</v>
      </c>
      <c r="U82" s="410">
        <v>523563.78903599997</v>
      </c>
      <c r="V82" s="410">
        <v>494181.81678599998</v>
      </c>
      <c r="W82" s="410">
        <v>474252.24577433011</v>
      </c>
      <c r="X82" s="410">
        <v>459097.78503966902</v>
      </c>
      <c r="Y82" s="410">
        <v>432782.1741858818</v>
      </c>
      <c r="Z82" s="410">
        <v>435457.47104100004</v>
      </c>
      <c r="AA82" s="410">
        <v>439273</v>
      </c>
      <c r="AB82" s="410">
        <v>346638.16021746391</v>
      </c>
      <c r="AC82" s="410">
        <v>405020.94614774344</v>
      </c>
      <c r="AD82" s="410">
        <v>412263.8216627044</v>
      </c>
      <c r="AE82" s="410"/>
      <c r="AF82" s="410"/>
      <c r="AG82" s="410"/>
      <c r="AH82" s="410"/>
      <c r="AI82" s="410"/>
      <c r="AJ82" s="410"/>
      <c r="AK82" s="410"/>
      <c r="AL82" s="410"/>
      <c r="AM82" s="410"/>
      <c r="AN82" s="410"/>
      <c r="AO82" s="410"/>
      <c r="AP82" s="410"/>
      <c r="AQ82" s="410"/>
      <c r="AR82" s="410"/>
      <c r="AS82" s="410"/>
      <c r="AT82" s="410"/>
      <c r="AU82" s="410"/>
      <c r="AV82" s="410"/>
      <c r="AW82" s="410"/>
      <c r="AX82" s="410"/>
      <c r="AY82" s="410"/>
      <c r="AZ82" s="410"/>
      <c r="BA82" s="410"/>
      <c r="BB82" s="410"/>
      <c r="BC82" s="410"/>
      <c r="BD82" s="2"/>
      <c r="BE82" s="2"/>
    </row>
    <row r="83" spans="1:57" ht="17.25" customHeight="1" outlineLevel="1">
      <c r="A83" s="2"/>
      <c r="B83" s="2" t="s">
        <v>353</v>
      </c>
      <c r="C83" s="2"/>
      <c r="D83" s="2"/>
      <c r="E83" s="410">
        <v>193078.533196</v>
      </c>
      <c r="F83" s="410">
        <v>163076.56314700001</v>
      </c>
      <c r="G83" s="410">
        <v>145857.08605000004</v>
      </c>
      <c r="H83" s="410">
        <v>140806.00066300007</v>
      </c>
      <c r="I83" s="410">
        <v>114121.19383700003</v>
      </c>
      <c r="J83" s="410">
        <v>201846.41429700001</v>
      </c>
      <c r="K83" s="410">
        <v>181508</v>
      </c>
      <c r="L83" s="410">
        <v>170563</v>
      </c>
      <c r="M83" s="410">
        <v>209039</v>
      </c>
      <c r="N83" s="410">
        <v>139677</v>
      </c>
      <c r="O83" s="410">
        <v>82589.849514000001</v>
      </c>
      <c r="P83" s="410">
        <v>189110.522803</v>
      </c>
      <c r="Q83" s="410">
        <v>211388.97656899999</v>
      </c>
      <c r="R83" s="410">
        <v>189139.30244700002</v>
      </c>
      <c r="S83" s="410">
        <v>132935.98405099998</v>
      </c>
      <c r="T83" s="410">
        <v>80007.775712999995</v>
      </c>
      <c r="U83" s="410">
        <v>81665.401456000007</v>
      </c>
      <c r="V83" s="410">
        <v>99189.456852999996</v>
      </c>
      <c r="W83" s="410">
        <v>76405.86656090201</v>
      </c>
      <c r="X83" s="410">
        <v>167399.35053234801</v>
      </c>
      <c r="Y83" s="410">
        <v>145746.41193564402</v>
      </c>
      <c r="Z83" s="410">
        <v>87336.513923572988</v>
      </c>
      <c r="AA83" s="410">
        <v>99669</v>
      </c>
      <c r="AB83" s="410">
        <v>197007.23374245295</v>
      </c>
      <c r="AC83" s="410">
        <v>234562.990931796</v>
      </c>
      <c r="AD83" s="410">
        <v>296025.50200786092</v>
      </c>
      <c r="AE83" s="410"/>
      <c r="AF83" s="410"/>
      <c r="AG83" s="410"/>
      <c r="AH83" s="410"/>
      <c r="AI83" s="410"/>
      <c r="AJ83" s="410"/>
      <c r="AK83" s="410"/>
      <c r="AL83" s="410"/>
      <c r="AM83" s="410"/>
      <c r="AN83" s="410"/>
      <c r="AO83" s="410"/>
      <c r="AP83" s="410"/>
      <c r="AQ83" s="410"/>
      <c r="AR83" s="410"/>
      <c r="AS83" s="410"/>
      <c r="AT83" s="410"/>
      <c r="AU83" s="410"/>
      <c r="AV83" s="410"/>
      <c r="AW83" s="410"/>
      <c r="AX83" s="410"/>
      <c r="AY83" s="410"/>
      <c r="AZ83" s="410"/>
      <c r="BA83" s="410"/>
      <c r="BB83" s="410"/>
      <c r="BC83" s="410"/>
      <c r="BD83" s="2"/>
      <c r="BE83" s="2"/>
    </row>
    <row r="84" spans="1:57" ht="17.25" customHeight="1" outlineLevel="1">
      <c r="A84" s="2"/>
      <c r="B84" s="2" t="s">
        <v>354</v>
      </c>
      <c r="C84" s="2"/>
      <c r="D84" s="2"/>
      <c r="E84" s="410"/>
      <c r="F84" s="410"/>
      <c r="G84" s="410"/>
      <c r="H84" s="410"/>
      <c r="I84" s="410"/>
      <c r="J84" s="410">
        <v>0</v>
      </c>
      <c r="K84" s="410">
        <v>0</v>
      </c>
      <c r="L84" s="410">
        <v>0</v>
      </c>
      <c r="M84" s="410">
        <v>1025.956531</v>
      </c>
      <c r="N84" s="410">
        <v>4245.3373689999999</v>
      </c>
      <c r="O84" s="410">
        <v>71951.957662999994</v>
      </c>
      <c r="P84" s="410">
        <v>139883.866312</v>
      </c>
      <c r="Q84" s="410">
        <v>143167.38151599999</v>
      </c>
      <c r="R84" s="410">
        <v>194244.26716799999</v>
      </c>
      <c r="S84" s="410">
        <v>202277.565871</v>
      </c>
      <c r="T84" s="410">
        <v>301588.17657299998</v>
      </c>
      <c r="U84" s="410">
        <v>341424.20368200005</v>
      </c>
      <c r="V84" s="410">
        <v>369613.389364</v>
      </c>
      <c r="W84" s="410">
        <v>378648.12080199999</v>
      </c>
      <c r="X84" s="410">
        <v>454296.64678700001</v>
      </c>
      <c r="Y84" s="410">
        <v>439204.45812000002</v>
      </c>
      <c r="Z84" s="410">
        <v>449938.06763800001</v>
      </c>
      <c r="AA84" s="410">
        <v>460792</v>
      </c>
      <c r="AB84" s="410">
        <v>470370.98616299999</v>
      </c>
      <c r="AC84" s="410">
        <v>433294.00321200001</v>
      </c>
      <c r="AD84" s="410">
        <v>444531.594017</v>
      </c>
      <c r="AE84" s="410"/>
      <c r="AF84" s="410"/>
      <c r="AG84" s="410"/>
      <c r="AH84" s="410"/>
      <c r="AI84" s="410"/>
      <c r="AJ84" s="410"/>
      <c r="AK84" s="410"/>
      <c r="AL84" s="410"/>
      <c r="AM84" s="410"/>
      <c r="AN84" s="410"/>
      <c r="AO84" s="410"/>
      <c r="AP84" s="410"/>
      <c r="AQ84" s="410"/>
      <c r="AR84" s="410"/>
      <c r="AS84" s="410"/>
      <c r="AT84" s="410"/>
      <c r="AU84" s="410"/>
      <c r="AV84" s="410"/>
      <c r="AW84" s="410"/>
      <c r="AX84" s="410"/>
      <c r="AY84" s="410"/>
      <c r="AZ84" s="410"/>
      <c r="BA84" s="410"/>
      <c r="BB84" s="410"/>
      <c r="BC84" s="410"/>
      <c r="BD84" s="2"/>
      <c r="BE84" s="2"/>
    </row>
    <row r="85" spans="1:57" outlineLevel="1">
      <c r="A85" s="2"/>
      <c r="B85" s="2"/>
      <c r="C85" s="2"/>
      <c r="D85" s="2"/>
      <c r="E85" s="411"/>
      <c r="F85" s="411"/>
      <c r="G85" s="411"/>
      <c r="H85" s="411"/>
      <c r="I85" s="411"/>
      <c r="J85" s="411"/>
      <c r="K85" s="411"/>
      <c r="L85" s="411"/>
      <c r="M85" s="411"/>
      <c r="N85" s="411"/>
      <c r="O85" s="411"/>
      <c r="P85" s="411"/>
      <c r="Q85" s="411"/>
      <c r="R85" s="411"/>
      <c r="S85" s="411"/>
      <c r="T85" s="411">
        <v>0</v>
      </c>
      <c r="U85" s="411">
        <v>0</v>
      </c>
      <c r="V85" s="411">
        <v>0</v>
      </c>
      <c r="W85" s="411">
        <v>0</v>
      </c>
      <c r="X85" s="411">
        <v>0</v>
      </c>
      <c r="Y85" s="411">
        <v>0</v>
      </c>
      <c r="Z85" s="411">
        <v>0</v>
      </c>
      <c r="AA85" s="411"/>
      <c r="AB85" s="411">
        <v>0</v>
      </c>
      <c r="AC85" s="411">
        <v>0</v>
      </c>
      <c r="AD85" s="411">
        <v>0</v>
      </c>
      <c r="AE85" s="411"/>
      <c r="AF85" s="411"/>
      <c r="AG85" s="411"/>
      <c r="AH85" s="411"/>
      <c r="AI85" s="411"/>
      <c r="AJ85" s="411"/>
      <c r="AK85" s="411"/>
      <c r="AL85" s="411"/>
      <c r="AM85" s="411"/>
      <c r="AN85" s="411"/>
      <c r="AO85" s="411"/>
      <c r="AP85" s="411"/>
      <c r="AQ85" s="411"/>
      <c r="AR85" s="411"/>
      <c r="AS85" s="411"/>
      <c r="AT85" s="411"/>
      <c r="AU85" s="411"/>
      <c r="AV85" s="411"/>
      <c r="AW85" s="411"/>
      <c r="AX85" s="411"/>
      <c r="AY85" s="411"/>
      <c r="AZ85" s="411"/>
      <c r="BA85" s="411"/>
      <c r="BB85" s="411"/>
      <c r="BC85" s="411"/>
      <c r="BD85" s="2"/>
      <c r="BE85" s="2"/>
    </row>
    <row r="86" spans="1:57" outlineLevel="1">
      <c r="A86" s="2"/>
      <c r="B86" s="2" t="s">
        <v>355</v>
      </c>
      <c r="C86" s="2"/>
      <c r="D86" s="2"/>
      <c r="E86" s="411"/>
      <c r="F86" s="411"/>
      <c r="G86" s="411"/>
      <c r="H86" s="411"/>
      <c r="I86" s="411"/>
      <c r="J86" s="411"/>
      <c r="K86" s="411"/>
      <c r="L86" s="411"/>
      <c r="M86" s="411"/>
      <c r="N86" s="411"/>
      <c r="O86" s="411"/>
      <c r="P86" s="411"/>
      <c r="Q86" s="411"/>
      <c r="R86" s="411"/>
      <c r="S86" s="411"/>
      <c r="T86" s="411"/>
      <c r="U86" s="411"/>
      <c r="V86" s="411"/>
      <c r="W86" s="411"/>
      <c r="X86" s="411"/>
      <c r="Y86" s="411"/>
      <c r="Z86" s="411"/>
      <c r="AA86" s="411"/>
      <c r="AB86" s="411"/>
      <c r="AC86" s="411"/>
      <c r="AD86" s="411"/>
      <c r="AE86" s="411"/>
      <c r="AF86" s="411"/>
      <c r="AG86" s="411"/>
      <c r="AH86" s="411"/>
      <c r="AI86" s="411"/>
      <c r="AJ86" s="411"/>
      <c r="AK86" s="411"/>
      <c r="AL86" s="411"/>
      <c r="AM86" s="411"/>
      <c r="AN86" s="411"/>
      <c r="AO86" s="411"/>
      <c r="AP86" s="411"/>
      <c r="AQ86" s="411"/>
      <c r="AR86" s="411"/>
      <c r="AS86" s="411"/>
      <c r="AT86" s="411"/>
      <c r="AU86" s="411"/>
      <c r="AV86" s="411"/>
      <c r="AW86" s="411"/>
      <c r="AX86" s="411"/>
      <c r="AY86" s="411"/>
      <c r="AZ86" s="411"/>
      <c r="BA86" s="411"/>
      <c r="BB86" s="411"/>
      <c r="BC86" s="411"/>
      <c r="BD86" s="2"/>
      <c r="BE86" s="2"/>
    </row>
    <row r="87" spans="1:57" outlineLevel="1">
      <c r="A87" s="2"/>
      <c r="B87" s="2" t="s">
        <v>356</v>
      </c>
      <c r="C87" s="2"/>
      <c r="D87" s="2"/>
      <c r="E87" s="410">
        <v>20299.880134999996</v>
      </c>
      <c r="F87" s="410">
        <v>22938.688888000001</v>
      </c>
      <c r="G87" s="410">
        <v>17899.408993000001</v>
      </c>
      <c r="H87" s="410">
        <v>27084.585087000003</v>
      </c>
      <c r="I87" s="410">
        <v>17295.115279000001</v>
      </c>
      <c r="J87" s="410">
        <v>37835</v>
      </c>
      <c r="K87" s="410">
        <v>30819</v>
      </c>
      <c r="L87" s="410">
        <v>25378</v>
      </c>
      <c r="M87" s="410">
        <v>49808</v>
      </c>
      <c r="N87" s="410">
        <v>20368</v>
      </c>
      <c r="O87" s="410">
        <v>15941</v>
      </c>
      <c r="P87" s="410">
        <v>25378</v>
      </c>
      <c r="Q87" s="410">
        <v>11719</v>
      </c>
      <c r="R87" s="410">
        <v>37414</v>
      </c>
      <c r="S87" s="410">
        <v>21637</v>
      </c>
      <c r="T87" s="410">
        <v>21338.897082</v>
      </c>
      <c r="U87" s="410">
        <v>37087.087208999998</v>
      </c>
      <c r="V87" s="410">
        <v>20477.427784</v>
      </c>
      <c r="W87" s="410">
        <v>21677.441972292003</v>
      </c>
      <c r="X87" s="410">
        <v>13165.465968308999</v>
      </c>
      <c r="Y87" s="410">
        <v>12817.204448123</v>
      </c>
      <c r="Z87" s="410">
        <v>16514.295468031003</v>
      </c>
      <c r="AA87" s="410">
        <v>16419</v>
      </c>
      <c r="AB87" s="410">
        <v>18294.252735971</v>
      </c>
      <c r="AC87" s="410">
        <v>47886.435579327997</v>
      </c>
      <c r="AD87" s="411">
        <f>'Reported Group Balance Sheet'!AD28</f>
        <v>51331</v>
      </c>
      <c r="AE87" s="411">
        <f>'Reported Group Balance Sheet'!AE28</f>
        <v>61386</v>
      </c>
      <c r="AF87" s="411">
        <f>'Reported Group Balance Sheet'!AF28</f>
        <v>64919</v>
      </c>
      <c r="AG87" s="411">
        <f>'Reported Group Balance Sheet'!AG28</f>
        <v>62121</v>
      </c>
      <c r="AH87" s="411">
        <f>'Reported Group Balance Sheet'!AH28</f>
        <v>57104</v>
      </c>
      <c r="AI87" s="411">
        <f>'Reported Group Balance Sheet'!AI28</f>
        <v>106957</v>
      </c>
      <c r="AJ87" s="411">
        <f>'Reported Group Balance Sheet'!AJ28</f>
        <v>102060</v>
      </c>
      <c r="AK87" s="411">
        <f>'Reported Group Balance Sheet'!AK28</f>
        <v>135507</v>
      </c>
      <c r="AL87" s="411">
        <f>'Reported Group Balance Sheet'!AL28</f>
        <v>129213</v>
      </c>
      <c r="AM87" s="411">
        <f>'Reported Group Balance Sheet'!AM28</f>
        <v>105241</v>
      </c>
      <c r="AN87" s="411">
        <f>'Reported Group Balance Sheet'!AN28</f>
        <v>98345</v>
      </c>
      <c r="AO87" s="411">
        <f>'Reported Group Balance Sheet'!AO28</f>
        <v>80859</v>
      </c>
      <c r="AP87" s="411">
        <f>'Reported Group Balance Sheet'!AP28</f>
        <v>84917</v>
      </c>
      <c r="AQ87" s="411">
        <f>'Reported Group Balance Sheet'!AQ28</f>
        <v>61707</v>
      </c>
      <c r="AR87" s="411">
        <f>'Reported Group Balance Sheet'!AR28</f>
        <v>73015</v>
      </c>
      <c r="AS87" s="411">
        <f>'Reported Group Balance Sheet'!AS28</f>
        <v>60959</v>
      </c>
      <c r="AT87" s="411">
        <f>'Reported Group Balance Sheet'!AT28</f>
        <v>75849</v>
      </c>
      <c r="AU87" s="411">
        <f>'Reported Group Balance Sheet'!AU28</f>
        <v>64942</v>
      </c>
      <c r="AV87" s="411">
        <f>'Reported Group Balance Sheet'!AV28</f>
        <v>60727</v>
      </c>
      <c r="AW87" s="411">
        <f>'Reported Group Balance Sheet'!AW28</f>
        <v>71794</v>
      </c>
      <c r="AX87" s="411">
        <f>'Reported Group Balance Sheet'!AX28</f>
        <v>58799</v>
      </c>
      <c r="AY87" s="411">
        <f>'Reported Group Balance Sheet'!AY28</f>
        <v>43656</v>
      </c>
      <c r="AZ87" s="411">
        <f>'Reported Group Balance Sheet'!AZ28</f>
        <v>55169</v>
      </c>
      <c r="BA87" s="411">
        <f>'Reported Group Balance Sheet'!BA28</f>
        <v>69155.362636710008</v>
      </c>
      <c r="BB87" s="411">
        <f>'Reported Group Balance Sheet'!BB28</f>
        <v>50178.834899000001</v>
      </c>
      <c r="BC87" s="411">
        <f>'Reported Group Balance Sheet'!BC28</f>
        <v>47379.924448999998</v>
      </c>
      <c r="BD87" s="2"/>
      <c r="BE87" s="2"/>
    </row>
    <row r="88" spans="1:57" outlineLevel="1">
      <c r="A88" s="2"/>
      <c r="B88" s="2" t="s">
        <v>357</v>
      </c>
      <c r="C88" s="2"/>
      <c r="D88" s="2"/>
      <c r="E88" s="412">
        <v>988.73245099999997</v>
      </c>
      <c r="F88" s="412">
        <v>889.65650500000004</v>
      </c>
      <c r="G88" s="412">
        <v>1074.019558</v>
      </c>
      <c r="H88" s="412">
        <v>3159.8087259999998</v>
      </c>
      <c r="I88" s="412">
        <v>4298.10365</v>
      </c>
      <c r="J88" s="412">
        <v>1138.1328630000003</v>
      </c>
      <c r="K88" s="412">
        <v>1994.3310609999999</v>
      </c>
      <c r="L88" s="412">
        <v>1623.9419890000008</v>
      </c>
      <c r="M88" s="412">
        <v>1982.0054680000001</v>
      </c>
      <c r="N88" s="412">
        <v>1449.0278800000001</v>
      </c>
      <c r="O88" s="412">
        <v>1764.9788079999998</v>
      </c>
      <c r="P88" s="412">
        <v>1998.689093</v>
      </c>
      <c r="Q88" s="412">
        <v>2602.8712180000002</v>
      </c>
      <c r="R88" s="412">
        <v>2344.5012459999998</v>
      </c>
      <c r="S88" s="412">
        <v>2567.0352370000001</v>
      </c>
      <c r="T88" s="412">
        <v>2952.731033</v>
      </c>
      <c r="U88" s="412">
        <v>2576.957034</v>
      </c>
      <c r="V88" s="412">
        <v>2247.4059849999999</v>
      </c>
      <c r="W88" s="412">
        <v>2339.9737988679999</v>
      </c>
      <c r="X88" s="412">
        <v>1449.375031779</v>
      </c>
      <c r="Y88" s="412">
        <v>15440.462120578999</v>
      </c>
      <c r="Z88" s="412">
        <v>2259.0053556000003</v>
      </c>
      <c r="AA88" s="412">
        <v>2158</v>
      </c>
      <c r="AB88" s="412">
        <v>1930.5533138629999</v>
      </c>
      <c r="AC88" s="412">
        <v>0</v>
      </c>
      <c r="AD88" s="412">
        <v>0</v>
      </c>
      <c r="AE88" s="412"/>
      <c r="AF88" s="412"/>
      <c r="AG88" s="412"/>
      <c r="AH88" s="412"/>
      <c r="AI88" s="412"/>
      <c r="AJ88" s="412"/>
      <c r="AK88" s="412"/>
      <c r="AL88" s="412"/>
      <c r="AM88" s="412"/>
      <c r="AN88" s="412"/>
      <c r="AO88" s="412"/>
      <c r="AP88" s="412"/>
      <c r="AQ88" s="412"/>
      <c r="AR88" s="412"/>
      <c r="AS88" s="412"/>
      <c r="AT88" s="412"/>
      <c r="AU88" s="412"/>
      <c r="AV88" s="412"/>
      <c r="AW88" s="412"/>
      <c r="AX88" s="412"/>
      <c r="AY88" s="412"/>
      <c r="AZ88" s="412"/>
      <c r="BA88" s="412"/>
      <c r="BB88" s="412"/>
      <c r="BC88" s="412"/>
      <c r="BD88" s="2"/>
      <c r="BE88" s="2"/>
    </row>
    <row r="89" spans="1:57" outlineLevel="1">
      <c r="A89" s="2"/>
      <c r="B89" s="2" t="s">
        <v>389</v>
      </c>
      <c r="C89" s="2"/>
      <c r="D89" s="2"/>
      <c r="E89" s="412">
        <v>417.26590699999997</v>
      </c>
      <c r="F89" s="412">
        <v>830.68778199999997</v>
      </c>
      <c r="G89" s="412">
        <v>2273.445999</v>
      </c>
      <c r="H89" s="412">
        <v>2074.1718810000002</v>
      </c>
      <c r="I89" s="412">
        <v>2167.4672650000002</v>
      </c>
      <c r="J89" s="412">
        <v>4371.2190099999998</v>
      </c>
      <c r="K89" s="412">
        <v>4248.0298269999994</v>
      </c>
      <c r="L89" s="412">
        <v>4214.4660089999998</v>
      </c>
      <c r="M89" s="412">
        <v>4171.9147050000001</v>
      </c>
      <c r="N89" s="412">
        <v>160.33513400000001</v>
      </c>
      <c r="O89" s="412"/>
      <c r="P89" s="412"/>
      <c r="Q89" s="412"/>
      <c r="R89" s="412"/>
      <c r="S89" s="412"/>
      <c r="T89" s="412">
        <v>0</v>
      </c>
      <c r="U89" s="412">
        <v>0</v>
      </c>
      <c r="V89" s="412">
        <v>0</v>
      </c>
      <c r="W89" s="412">
        <v>0</v>
      </c>
      <c r="X89" s="412">
        <v>0</v>
      </c>
      <c r="Y89" s="412">
        <v>0</v>
      </c>
      <c r="Z89" s="412">
        <v>0</v>
      </c>
      <c r="AA89" s="412"/>
      <c r="AB89" s="412">
        <v>0</v>
      </c>
      <c r="AC89" s="412">
        <v>0</v>
      </c>
      <c r="AD89" s="412">
        <v>0</v>
      </c>
      <c r="AE89" s="412"/>
      <c r="AF89" s="412"/>
      <c r="AG89" s="412"/>
      <c r="AH89" s="412"/>
      <c r="AI89" s="412"/>
      <c r="AJ89" s="412"/>
      <c r="AK89" s="412"/>
      <c r="AL89" s="412"/>
      <c r="AM89" s="412"/>
      <c r="AN89" s="412"/>
      <c r="AO89" s="412"/>
      <c r="AP89" s="412"/>
      <c r="AQ89" s="412"/>
      <c r="AR89" s="412"/>
      <c r="AS89" s="412"/>
      <c r="AT89" s="412"/>
      <c r="AU89" s="412"/>
      <c r="AV89" s="412"/>
      <c r="AW89" s="412"/>
      <c r="AX89" s="412"/>
      <c r="AY89" s="412"/>
      <c r="AZ89" s="412"/>
      <c r="BA89" s="412"/>
      <c r="BB89" s="412"/>
      <c r="BC89" s="412"/>
      <c r="BD89" s="2"/>
      <c r="BE89" s="2"/>
    </row>
    <row r="90" spans="1:57" outlineLevel="1">
      <c r="A90" s="2"/>
      <c r="B90" s="2" t="s">
        <v>361</v>
      </c>
      <c r="C90" s="2"/>
      <c r="D90" s="2"/>
      <c r="E90" s="412">
        <v>18132.365540999999</v>
      </c>
      <c r="F90" s="412">
        <v>33003.214169999999</v>
      </c>
      <c r="G90" s="412">
        <v>16303.174562</v>
      </c>
      <c r="H90" s="412">
        <v>68962.885685999994</v>
      </c>
      <c r="I90" s="412">
        <v>67451.674618999998</v>
      </c>
      <c r="J90" s="412">
        <v>114089.58977999999</v>
      </c>
      <c r="K90" s="412">
        <v>93876</v>
      </c>
      <c r="L90" s="412">
        <v>125494</v>
      </c>
      <c r="M90" s="412">
        <v>98606</v>
      </c>
      <c r="N90" s="412">
        <v>117331</v>
      </c>
      <c r="O90" s="412">
        <v>109361.819559</v>
      </c>
      <c r="P90" s="412">
        <v>103506.947122</v>
      </c>
      <c r="Q90" s="412">
        <v>124100.104534</v>
      </c>
      <c r="R90" s="412">
        <v>190162.97997638257</v>
      </c>
      <c r="S90" s="412">
        <v>131258.24531755119</v>
      </c>
      <c r="T90" s="412">
        <v>79597.4220850212</v>
      </c>
      <c r="U90" s="412">
        <v>71883.097102729997</v>
      </c>
      <c r="V90" s="412">
        <v>105345.14406700895</v>
      </c>
      <c r="W90" s="412">
        <v>90486.010851901461</v>
      </c>
      <c r="X90" s="412">
        <v>92227.255831936636</v>
      </c>
      <c r="Y90" s="412">
        <v>75476.055680325473</v>
      </c>
      <c r="Z90" s="412">
        <v>75555.028897540004</v>
      </c>
      <c r="AA90" s="412">
        <v>66357</v>
      </c>
      <c r="AB90" s="412">
        <v>76652.486115647756</v>
      </c>
      <c r="AC90" s="412">
        <v>72706.995977024984</v>
      </c>
      <c r="AD90" s="412">
        <v>72462.860911059994</v>
      </c>
      <c r="AE90" s="412"/>
      <c r="AF90" s="412"/>
      <c r="AG90" s="412"/>
      <c r="AH90" s="412"/>
      <c r="AI90" s="412"/>
      <c r="AJ90" s="412"/>
      <c r="AK90" s="412"/>
      <c r="AL90" s="412"/>
      <c r="AM90" s="412"/>
      <c r="AN90" s="412"/>
      <c r="AO90" s="412"/>
      <c r="AP90" s="412"/>
      <c r="AQ90" s="412"/>
      <c r="AR90" s="412"/>
      <c r="AS90" s="412"/>
      <c r="AT90" s="412"/>
      <c r="AU90" s="412"/>
      <c r="AV90" s="412"/>
      <c r="AW90" s="412"/>
      <c r="AX90" s="412"/>
      <c r="AY90" s="412"/>
      <c r="AZ90" s="412"/>
      <c r="BA90" s="412"/>
      <c r="BB90" s="412"/>
      <c r="BC90" s="412"/>
      <c r="BD90" s="2"/>
      <c r="BE90" s="2"/>
    </row>
    <row r="91" spans="1:57" outlineLevel="1">
      <c r="A91" s="2"/>
      <c r="B91" s="2"/>
      <c r="C91" s="2"/>
      <c r="D91" s="2"/>
      <c r="E91" s="412"/>
      <c r="F91" s="412"/>
      <c r="G91" s="412"/>
      <c r="H91" s="412"/>
      <c r="I91" s="412"/>
      <c r="J91" s="412"/>
      <c r="K91" s="412"/>
      <c r="L91" s="412"/>
      <c r="M91" s="412"/>
      <c r="N91" s="412"/>
      <c r="O91" s="412"/>
      <c r="P91" s="412"/>
      <c r="Q91" s="412"/>
      <c r="R91" s="412"/>
      <c r="S91" s="412"/>
      <c r="T91" s="412"/>
      <c r="U91" s="412"/>
      <c r="V91" s="412"/>
      <c r="W91" s="412"/>
      <c r="X91" s="412"/>
      <c r="Y91" s="412"/>
      <c r="Z91" s="412"/>
      <c r="AA91" s="412"/>
      <c r="AB91" s="412"/>
      <c r="AC91" s="412"/>
      <c r="AD91" s="412"/>
      <c r="AE91" s="412"/>
      <c r="AF91" s="412"/>
      <c r="AG91" s="412"/>
      <c r="AH91" s="412"/>
      <c r="AI91" s="412"/>
      <c r="AJ91" s="412"/>
      <c r="AK91" s="412"/>
      <c r="AL91" s="412"/>
      <c r="AM91" s="412"/>
      <c r="AN91" s="412"/>
      <c r="AO91" s="412"/>
      <c r="AP91" s="412"/>
      <c r="AQ91" s="412"/>
      <c r="AR91" s="412"/>
      <c r="AS91" s="412"/>
      <c r="AT91" s="412"/>
      <c r="AU91" s="412"/>
      <c r="AV91" s="412"/>
      <c r="AW91" s="412"/>
      <c r="AX91" s="412"/>
      <c r="AY91" s="412"/>
      <c r="AZ91" s="412"/>
      <c r="BA91" s="412"/>
      <c r="BB91" s="412"/>
      <c r="BC91" s="412"/>
      <c r="BD91" s="2"/>
      <c r="BE91" s="2"/>
    </row>
    <row r="92" spans="1:57" outlineLevel="1">
      <c r="A92" s="2"/>
      <c r="B92" s="13" t="s">
        <v>890</v>
      </c>
      <c r="C92" s="2"/>
      <c r="D92" s="2"/>
      <c r="E92" s="412"/>
      <c r="F92" s="412"/>
      <c r="G92" s="412"/>
      <c r="H92" s="412"/>
      <c r="I92" s="412"/>
      <c r="J92" s="412"/>
      <c r="K92" s="412"/>
      <c r="L92" s="412"/>
      <c r="M92" s="412"/>
      <c r="N92" s="412"/>
      <c r="O92" s="412"/>
      <c r="P92" s="412"/>
      <c r="Q92" s="412"/>
      <c r="R92" s="412"/>
      <c r="S92" s="412"/>
      <c r="T92" s="412"/>
      <c r="U92" s="412"/>
      <c r="V92" s="412"/>
      <c r="W92" s="412"/>
      <c r="X92" s="412"/>
      <c r="Y92" s="412"/>
      <c r="Z92" s="412"/>
      <c r="AA92" s="412"/>
      <c r="AB92" s="412"/>
      <c r="AC92" s="412"/>
      <c r="AD92" s="412"/>
      <c r="AE92" s="412"/>
      <c r="AF92" s="412"/>
      <c r="AG92" s="412"/>
      <c r="AH92" s="412"/>
      <c r="AI92" s="412"/>
      <c r="AJ92" s="412"/>
      <c r="AK92" s="412"/>
      <c r="AL92" s="412"/>
      <c r="AM92" s="412"/>
      <c r="AN92" s="412"/>
      <c r="AO92" s="412"/>
      <c r="AP92" s="412"/>
      <c r="AQ92" s="412"/>
      <c r="AR92" s="412"/>
      <c r="AS92" s="412"/>
      <c r="AT92" s="412"/>
      <c r="AU92" s="412"/>
      <c r="AV92" s="412"/>
      <c r="AW92" s="412"/>
      <c r="AX92" s="412"/>
      <c r="AY92" s="412"/>
      <c r="AZ92" s="412"/>
      <c r="BA92" s="412"/>
      <c r="BB92" s="412"/>
      <c r="BC92" s="412"/>
      <c r="BD92" s="2"/>
      <c r="BE92" s="2"/>
    </row>
    <row r="93" spans="1:57" outlineLevel="1">
      <c r="A93" s="2"/>
      <c r="B93" s="2" t="s">
        <v>891</v>
      </c>
      <c r="C93" s="104"/>
      <c r="D93" s="104"/>
      <c r="E93" s="412"/>
      <c r="F93" s="412"/>
      <c r="G93" s="412"/>
      <c r="H93" s="412"/>
      <c r="I93" s="412"/>
      <c r="J93" s="412"/>
      <c r="K93" s="412"/>
      <c r="L93" s="412"/>
      <c r="M93" s="412"/>
      <c r="N93" s="412"/>
      <c r="O93" s="412"/>
      <c r="P93" s="412"/>
      <c r="Q93" s="412"/>
      <c r="R93" s="412"/>
      <c r="S93" s="412"/>
      <c r="T93" s="412"/>
      <c r="U93" s="412"/>
      <c r="V93" s="412"/>
      <c r="W93" s="412"/>
      <c r="X93" s="412"/>
      <c r="Y93" s="412"/>
      <c r="Z93" s="412"/>
      <c r="AA93" s="412"/>
      <c r="AB93" s="412"/>
      <c r="AC93" s="412"/>
      <c r="AD93" s="412"/>
      <c r="AE93" s="412"/>
      <c r="AF93" s="412"/>
      <c r="AG93" s="412"/>
      <c r="AH93" s="412"/>
      <c r="AI93" s="412"/>
      <c r="AJ93" s="412"/>
      <c r="AK93" s="412"/>
      <c r="AL93" s="412"/>
      <c r="AM93" s="412"/>
      <c r="AN93" s="412"/>
      <c r="AO93" s="412"/>
      <c r="AP93" s="412"/>
      <c r="AQ93" s="412"/>
      <c r="AR93" s="412"/>
      <c r="AS93" s="412"/>
      <c r="AT93" s="412"/>
      <c r="AU93" s="412"/>
      <c r="AV93" s="412"/>
      <c r="AW93" s="412">
        <v>401052</v>
      </c>
      <c r="AX93" s="412"/>
      <c r="AY93" s="412"/>
      <c r="AZ93" s="412"/>
      <c r="BA93" s="412">
        <v>275912</v>
      </c>
      <c r="BB93" s="412"/>
      <c r="BC93" s="412">
        <v>196600</v>
      </c>
      <c r="BD93" s="2"/>
      <c r="BE93" s="2"/>
    </row>
    <row r="94" spans="1:57" outlineLevel="1">
      <c r="A94" s="2"/>
      <c r="B94" s="2" t="s">
        <v>892</v>
      </c>
      <c r="C94" s="104"/>
      <c r="D94" s="104"/>
      <c r="E94" s="412"/>
      <c r="F94" s="412"/>
      <c r="G94" s="412"/>
      <c r="H94" s="412"/>
      <c r="I94" s="412"/>
      <c r="J94" s="412"/>
      <c r="K94" s="412"/>
      <c r="L94" s="412"/>
      <c r="M94" s="412"/>
      <c r="N94" s="412"/>
      <c r="O94" s="412"/>
      <c r="P94" s="412"/>
      <c r="Q94" s="412"/>
      <c r="R94" s="412"/>
      <c r="S94" s="412"/>
      <c r="T94" s="412"/>
      <c r="U94" s="412"/>
      <c r="V94" s="412"/>
      <c r="W94" s="412"/>
      <c r="X94" s="412"/>
      <c r="Y94" s="412"/>
      <c r="Z94" s="412"/>
      <c r="AA94" s="412"/>
      <c r="AB94" s="412"/>
      <c r="AC94" s="412"/>
      <c r="AD94" s="412"/>
      <c r="AE94" s="412"/>
      <c r="AF94" s="412"/>
      <c r="AG94" s="412"/>
      <c r="AH94" s="412"/>
      <c r="AI94" s="412"/>
      <c r="AJ94" s="412"/>
      <c r="AK94" s="412"/>
      <c r="AL94" s="412"/>
      <c r="AM94" s="412"/>
      <c r="AN94" s="412"/>
      <c r="AO94" s="412"/>
      <c r="AP94" s="412"/>
      <c r="AQ94" s="412"/>
      <c r="AR94" s="412"/>
      <c r="AS94" s="412"/>
      <c r="AT94" s="412"/>
      <c r="AU94" s="412"/>
      <c r="AV94" s="412"/>
      <c r="AW94" s="412">
        <v>134692</v>
      </c>
      <c r="AX94" s="412"/>
      <c r="AY94" s="412"/>
      <c r="AZ94" s="412"/>
      <c r="BA94" s="412">
        <v>204100</v>
      </c>
      <c r="BB94" s="412"/>
      <c r="BC94" s="412">
        <v>291004</v>
      </c>
      <c r="BD94" s="2"/>
      <c r="BE94" s="2"/>
    </row>
    <row r="95" spans="1:57" outlineLevel="1">
      <c r="A95" s="2"/>
      <c r="B95" s="2" t="s">
        <v>354</v>
      </c>
      <c r="C95" s="104"/>
      <c r="D95" s="104"/>
      <c r="E95" s="412"/>
      <c r="F95" s="412"/>
      <c r="G95" s="412"/>
      <c r="H95" s="412"/>
      <c r="I95" s="412"/>
      <c r="J95" s="412"/>
      <c r="K95" s="412"/>
      <c r="L95" s="412"/>
      <c r="M95" s="412"/>
      <c r="N95" s="412"/>
      <c r="O95" s="412"/>
      <c r="P95" s="412"/>
      <c r="Q95" s="412"/>
      <c r="R95" s="412"/>
      <c r="S95" s="412"/>
      <c r="T95" s="412"/>
      <c r="U95" s="412"/>
      <c r="V95" s="412"/>
      <c r="W95" s="412"/>
      <c r="X95" s="412"/>
      <c r="Y95" s="412"/>
      <c r="Z95" s="412"/>
      <c r="AA95" s="412"/>
      <c r="AB95" s="412"/>
      <c r="AC95" s="412"/>
      <c r="AD95" s="412"/>
      <c r="AE95" s="412"/>
      <c r="AF95" s="412"/>
      <c r="AG95" s="412"/>
      <c r="AH95" s="412"/>
      <c r="AI95" s="412"/>
      <c r="AJ95" s="412"/>
      <c r="AK95" s="412"/>
      <c r="AL95" s="412"/>
      <c r="AM95" s="412"/>
      <c r="AN95" s="412"/>
      <c r="AO95" s="412"/>
      <c r="AP95" s="412"/>
      <c r="AQ95" s="412"/>
      <c r="AR95" s="412"/>
      <c r="AS95" s="412"/>
      <c r="AT95" s="412"/>
      <c r="AU95" s="412"/>
      <c r="AV95" s="412"/>
      <c r="AW95" s="412">
        <v>1119198</v>
      </c>
      <c r="AX95" s="412"/>
      <c r="AY95" s="412"/>
      <c r="AZ95" s="412"/>
      <c r="BA95" s="412">
        <v>1039541</v>
      </c>
      <c r="BB95" s="412"/>
      <c r="BC95" s="412">
        <v>976945</v>
      </c>
      <c r="BD95" s="2"/>
      <c r="BE95" s="2"/>
    </row>
    <row r="96" spans="1:57" outlineLevel="1">
      <c r="A96" s="2"/>
      <c r="B96" s="2" t="s">
        <v>893</v>
      </c>
      <c r="C96" s="104"/>
      <c r="D96" s="104"/>
      <c r="E96" s="412"/>
      <c r="F96" s="412"/>
      <c r="G96" s="412"/>
      <c r="H96" s="412"/>
      <c r="I96" s="412"/>
      <c r="J96" s="412"/>
      <c r="K96" s="412"/>
      <c r="L96" s="412"/>
      <c r="M96" s="412"/>
      <c r="N96" s="412"/>
      <c r="O96" s="412"/>
      <c r="P96" s="412"/>
      <c r="Q96" s="412"/>
      <c r="R96" s="412"/>
      <c r="S96" s="412"/>
      <c r="T96" s="412"/>
      <c r="U96" s="412"/>
      <c r="V96" s="412"/>
      <c r="W96" s="412"/>
      <c r="X96" s="412"/>
      <c r="Y96" s="412"/>
      <c r="Z96" s="412"/>
      <c r="AA96" s="412"/>
      <c r="AB96" s="412"/>
      <c r="AC96" s="412"/>
      <c r="AD96" s="412"/>
      <c r="AE96" s="412"/>
      <c r="AF96" s="412"/>
      <c r="AG96" s="412"/>
      <c r="AH96" s="412"/>
      <c r="AI96" s="412"/>
      <c r="AJ96" s="412"/>
      <c r="AK96" s="412"/>
      <c r="AL96" s="412"/>
      <c r="AM96" s="412"/>
      <c r="AN96" s="412"/>
      <c r="AO96" s="412"/>
      <c r="AP96" s="412"/>
      <c r="AQ96" s="412"/>
      <c r="AR96" s="412"/>
      <c r="AS96" s="412"/>
      <c r="AT96" s="412"/>
      <c r="AU96" s="412"/>
      <c r="AV96" s="412"/>
      <c r="AW96" s="412">
        <v>-71794</v>
      </c>
      <c r="AX96" s="412"/>
      <c r="AY96" s="412"/>
      <c r="AZ96" s="412"/>
      <c r="BA96" s="412">
        <v>-75857</v>
      </c>
      <c r="BB96" s="412"/>
      <c r="BC96" s="412">
        <v>47379</v>
      </c>
      <c r="BD96" s="2"/>
      <c r="BE96" s="2"/>
    </row>
    <row r="97" spans="1:58" outlineLevel="1">
      <c r="A97" s="2"/>
      <c r="B97" s="2" t="s">
        <v>894</v>
      </c>
      <c r="C97" s="104"/>
      <c r="D97" s="104"/>
      <c r="E97" s="412"/>
      <c r="F97" s="412"/>
      <c r="G97" s="412"/>
      <c r="H97" s="412"/>
      <c r="I97" s="412"/>
      <c r="J97" s="412"/>
      <c r="K97" s="412"/>
      <c r="L97" s="412"/>
      <c r="M97" s="412"/>
      <c r="N97" s="412"/>
      <c r="O97" s="412"/>
      <c r="P97" s="412"/>
      <c r="Q97" s="412"/>
      <c r="R97" s="412"/>
      <c r="S97" s="412"/>
      <c r="T97" s="412"/>
      <c r="U97" s="412"/>
      <c r="V97" s="412"/>
      <c r="W97" s="412"/>
      <c r="X97" s="412"/>
      <c r="Y97" s="412"/>
      <c r="Z97" s="412"/>
      <c r="AA97" s="412"/>
      <c r="AB97" s="412"/>
      <c r="AC97" s="412"/>
      <c r="AD97" s="412"/>
      <c r="AE97" s="412"/>
      <c r="AF97" s="412"/>
      <c r="AG97" s="412"/>
      <c r="AH97" s="412"/>
      <c r="AI97" s="412"/>
      <c r="AJ97" s="412"/>
      <c r="AK97" s="412"/>
      <c r="AL97" s="412"/>
      <c r="AM97" s="412"/>
      <c r="AN97" s="412"/>
      <c r="AO97" s="412"/>
      <c r="AP97" s="412"/>
      <c r="AQ97" s="412"/>
      <c r="AR97" s="412"/>
      <c r="AS97" s="412"/>
      <c r="AT97" s="412"/>
      <c r="AU97" s="412"/>
      <c r="AV97" s="412"/>
      <c r="AW97" s="412">
        <v>-56640</v>
      </c>
      <c r="AX97" s="412"/>
      <c r="AY97" s="412"/>
      <c r="AZ97" s="412"/>
      <c r="BA97" s="412">
        <v>-33992</v>
      </c>
      <c r="BB97" s="412"/>
      <c r="BC97" s="412">
        <v>6787</v>
      </c>
      <c r="BD97" s="2"/>
      <c r="BE97" s="2"/>
    </row>
    <row r="98" spans="1:58" outlineLevel="1">
      <c r="A98" s="2"/>
      <c r="B98" s="183" t="s">
        <v>358</v>
      </c>
      <c r="C98" s="183"/>
      <c r="D98" s="183"/>
      <c r="E98" s="591">
        <v>650394.28747900005</v>
      </c>
      <c r="F98" s="591">
        <v>682983.40847400005</v>
      </c>
      <c r="G98" s="591">
        <v>667599.74498200009</v>
      </c>
      <c r="H98" s="591">
        <v>642824.73753599997</v>
      </c>
      <c r="I98" s="591">
        <v>638395.19087399996</v>
      </c>
      <c r="J98" s="591">
        <v>587205.47264400008</v>
      </c>
      <c r="K98" s="591">
        <v>613499.639112</v>
      </c>
      <c r="L98" s="591">
        <v>576429.59200199996</v>
      </c>
      <c r="M98" s="591">
        <v>605416.03635800001</v>
      </c>
      <c r="N98" s="591">
        <v>577442.97435499995</v>
      </c>
      <c r="O98" s="591">
        <v>622158.00881000003</v>
      </c>
      <c r="P98" s="591">
        <v>668387.75289999996</v>
      </c>
      <c r="Q98" s="591">
        <v>668417.46233300003</v>
      </c>
      <c r="R98" s="591">
        <v>681345.08839261741</v>
      </c>
      <c r="S98" s="591">
        <v>707770.26713244873</v>
      </c>
      <c r="T98" s="591">
        <v>784514.63239597867</v>
      </c>
      <c r="U98" s="591">
        <v>835106.25282826996</v>
      </c>
      <c r="V98" s="591">
        <v>834914.68516699097</v>
      </c>
      <c r="W98" s="591">
        <v>814802.8065141706</v>
      </c>
      <c r="X98" s="591">
        <v>973951.68552699243</v>
      </c>
      <c r="Y98" s="591">
        <v>913999.32199249847</v>
      </c>
      <c r="Z98" s="591">
        <v>878403.72288140212</v>
      </c>
      <c r="AA98" s="591">
        <v>914801</v>
      </c>
      <c r="AB98" s="591">
        <v>917139.08795743517</v>
      </c>
      <c r="AC98" s="591">
        <v>952284.5087351863</v>
      </c>
      <c r="AD98" s="591">
        <v>1029027.6710420663</v>
      </c>
      <c r="AE98" s="591">
        <v>1132042</v>
      </c>
      <c r="AF98" s="591">
        <v>1063674</v>
      </c>
      <c r="AG98" s="591">
        <v>1082346</v>
      </c>
      <c r="AH98" s="591">
        <v>884491</v>
      </c>
      <c r="AI98" s="591">
        <v>881258</v>
      </c>
      <c r="AJ98" s="591">
        <v>847664</v>
      </c>
      <c r="AK98" s="591">
        <v>882512</v>
      </c>
      <c r="AL98" s="591">
        <v>859272</v>
      </c>
      <c r="AM98" s="591">
        <v>1074034</v>
      </c>
      <c r="AN98" s="591">
        <v>1149853.4494809788</v>
      </c>
      <c r="AO98" s="591">
        <v>1155124</v>
      </c>
      <c r="AP98" s="591">
        <v>1265117</v>
      </c>
      <c r="AQ98" s="591">
        <v>1313412</v>
      </c>
      <c r="AR98" s="591">
        <v>1239073.8884547257</v>
      </c>
      <c r="AS98" s="591">
        <v>1235439</v>
      </c>
      <c r="AT98" s="591">
        <v>1195090</v>
      </c>
      <c r="AU98" s="591">
        <v>1572776</v>
      </c>
      <c r="AV98" s="591">
        <v>1548293</v>
      </c>
      <c r="AW98" s="591">
        <v>1526508</v>
      </c>
      <c r="AX98" s="591">
        <v>1488182</v>
      </c>
      <c r="AY98" s="591">
        <v>1474593</v>
      </c>
      <c r="AZ98" s="591">
        <v>1423559</v>
      </c>
      <c r="BA98" s="591">
        <v>1409704</v>
      </c>
      <c r="BB98" s="591">
        <v>1351258</v>
      </c>
      <c r="BC98" s="591">
        <v>1410382</v>
      </c>
      <c r="BD98" s="2"/>
      <c r="BE98" s="2"/>
      <c r="BF98" s="6" t="s">
        <v>895</v>
      </c>
    </row>
    <row r="99" spans="1:58" outlineLevel="1">
      <c r="A99" s="2"/>
      <c r="B99" s="2" t="s">
        <v>359</v>
      </c>
      <c r="C99" s="2"/>
      <c r="D99" s="2"/>
      <c r="E99" s="413"/>
      <c r="F99" s="413"/>
      <c r="G99" s="413"/>
      <c r="H99" s="413"/>
      <c r="I99" s="413"/>
      <c r="J99" s="413"/>
      <c r="K99" s="413"/>
      <c r="L99" s="413"/>
      <c r="M99" s="413"/>
      <c r="N99" s="413"/>
      <c r="O99" s="413"/>
      <c r="P99" s="413"/>
      <c r="Q99" s="413"/>
      <c r="R99" s="413"/>
      <c r="S99" s="413"/>
      <c r="T99" s="413">
        <v>56919.947976000003</v>
      </c>
      <c r="U99" s="413">
        <v>57870.791570999994</v>
      </c>
      <c r="V99" s="413">
        <v>54525.075850000001</v>
      </c>
      <c r="W99" s="413">
        <v>58829.710069789995</v>
      </c>
      <c r="X99" s="413">
        <v>59854.204988525009</v>
      </c>
      <c r="Y99" s="413">
        <v>56547.358045599998</v>
      </c>
      <c r="Z99" s="413">
        <v>55387.382979280002</v>
      </c>
      <c r="AA99" s="413">
        <v>53506</v>
      </c>
      <c r="AB99" s="413">
        <v>48389.605602575008</v>
      </c>
      <c r="AC99" s="413">
        <v>48775.799020983992</v>
      </c>
      <c r="AD99" s="413">
        <v>50117.961469424001</v>
      </c>
      <c r="AE99" s="413">
        <v>52304.929718986998</v>
      </c>
      <c r="AF99" s="413">
        <v>49293.864981571998</v>
      </c>
      <c r="AG99" s="413">
        <v>47553.012530246</v>
      </c>
      <c r="AH99" s="413">
        <v>281967.46913360804</v>
      </c>
      <c r="AI99" s="413">
        <v>299807</v>
      </c>
      <c r="AJ99" s="413">
        <v>301529</v>
      </c>
      <c r="AK99" s="413">
        <v>306078</v>
      </c>
      <c r="AL99" s="413">
        <f>1165405-859272</f>
        <v>306133</v>
      </c>
      <c r="AM99" s="413">
        <f>1378417-AM98</f>
        <v>304383</v>
      </c>
      <c r="AN99" s="413">
        <v>324529.01903550094</v>
      </c>
      <c r="AO99" s="413">
        <f>1485076-1155124</f>
        <v>329952</v>
      </c>
      <c r="AP99" s="413">
        <v>331104</v>
      </c>
      <c r="AQ99" s="413">
        <v>348981</v>
      </c>
      <c r="AR99" s="413">
        <v>352346.28986856603</v>
      </c>
      <c r="AS99" s="448">
        <f t="shared" ref="AS99:AX99" si="10">AS100-AS98</f>
        <v>367634</v>
      </c>
      <c r="AT99" s="448">
        <f t="shared" si="10"/>
        <v>478105</v>
      </c>
      <c r="AU99" s="448">
        <f t="shared" si="10"/>
        <v>523643</v>
      </c>
      <c r="AV99" s="448">
        <f t="shared" si="10"/>
        <v>549018</v>
      </c>
      <c r="AW99" s="448">
        <f t="shared" si="10"/>
        <v>604756</v>
      </c>
      <c r="AX99" s="448">
        <f t="shared" si="10"/>
        <v>589108</v>
      </c>
      <c r="AY99" s="448">
        <f t="shared" ref="AY99:AZ99" si="11">AY100-AY98</f>
        <v>595565</v>
      </c>
      <c r="AZ99" s="448">
        <f t="shared" si="11"/>
        <v>597143</v>
      </c>
      <c r="BA99" s="448">
        <f t="shared" ref="BA99:BB99" si="12">BA100-BA98</f>
        <v>636757</v>
      </c>
      <c r="BB99" s="448">
        <f t="shared" si="12"/>
        <v>674545</v>
      </c>
      <c r="BC99" s="448">
        <v>792003</v>
      </c>
      <c r="BD99" s="2"/>
      <c r="BE99" s="2"/>
    </row>
    <row r="100" spans="1:58" outlineLevel="1">
      <c r="A100" s="2"/>
      <c r="B100" s="13" t="s">
        <v>360</v>
      </c>
      <c r="C100" s="13"/>
      <c r="D100" s="13"/>
      <c r="E100" s="414">
        <f>E98</f>
        <v>650394.28747900005</v>
      </c>
      <c r="F100" s="414">
        <f t="shared" ref="F100:I100" si="13">F98</f>
        <v>682983.40847400005</v>
      </c>
      <c r="G100" s="414">
        <f t="shared" si="13"/>
        <v>667599.74498200009</v>
      </c>
      <c r="H100" s="414">
        <f t="shared" si="13"/>
        <v>642824.73753599997</v>
      </c>
      <c r="I100" s="414">
        <f t="shared" si="13"/>
        <v>638395.19087399996</v>
      </c>
      <c r="J100" s="414">
        <f>J98+J99</f>
        <v>587205.47264400008</v>
      </c>
      <c r="K100" s="414">
        <f t="shared" ref="K100:N100" si="14">K98+K99</f>
        <v>613499.639112</v>
      </c>
      <c r="L100" s="414">
        <f t="shared" si="14"/>
        <v>576429.59200199996</v>
      </c>
      <c r="M100" s="414">
        <f t="shared" si="14"/>
        <v>605416.03635800001</v>
      </c>
      <c r="N100" s="414">
        <f t="shared" si="14"/>
        <v>577442.97435499995</v>
      </c>
      <c r="O100" s="414">
        <f t="shared" ref="O100" si="15">O98+O99</f>
        <v>622158.00881000003</v>
      </c>
      <c r="P100" s="414">
        <f t="shared" ref="P100" si="16">P98+P99</f>
        <v>668387.75289999996</v>
      </c>
      <c r="Q100" s="414">
        <f t="shared" ref="Q100" si="17">Q98+Q99</f>
        <v>668417.46233300003</v>
      </c>
      <c r="R100" s="414">
        <f t="shared" ref="R100" si="18">R98+R99</f>
        <v>681345.08839261741</v>
      </c>
      <c r="S100" s="414">
        <f t="shared" ref="S100" si="19">S98+S99</f>
        <v>707770.26713244873</v>
      </c>
      <c r="T100" s="414">
        <v>841434.58037197869</v>
      </c>
      <c r="U100" s="414">
        <v>892977.04439926997</v>
      </c>
      <c r="V100" s="414">
        <v>889439.76101699099</v>
      </c>
      <c r="W100" s="414">
        <v>873632.51658396062</v>
      </c>
      <c r="X100" s="414">
        <v>1033805.8905155174</v>
      </c>
      <c r="Y100" s="414">
        <v>970546.68003809848</v>
      </c>
      <c r="Z100" s="414">
        <v>933791.10586068209</v>
      </c>
      <c r="AA100" s="414">
        <f>AA98+AA99</f>
        <v>968307</v>
      </c>
      <c r="AB100" s="414">
        <v>965528.69356001017</v>
      </c>
      <c r="AC100" s="414">
        <v>1001060.3077561703</v>
      </c>
      <c r="AD100" s="414">
        <v>1079145.6325114903</v>
      </c>
      <c r="AE100" s="415">
        <f>AE98+AE99</f>
        <v>1184346.9297189871</v>
      </c>
      <c r="AF100" s="415">
        <f>AF98+AF99</f>
        <v>1112967.8649815719</v>
      </c>
      <c r="AG100" s="415">
        <f>AG98+AG99</f>
        <v>1129899.0125302461</v>
      </c>
      <c r="AH100" s="415">
        <f>AH98+AH99</f>
        <v>1166458.469133608</v>
      </c>
      <c r="AI100" s="415">
        <v>1181065</v>
      </c>
      <c r="AJ100" s="415">
        <f t="shared" ref="AJ100:AO100" si="20">AJ98+AJ99</f>
        <v>1149193</v>
      </c>
      <c r="AK100" s="415">
        <f t="shared" si="20"/>
        <v>1188590</v>
      </c>
      <c r="AL100" s="415">
        <f t="shared" si="20"/>
        <v>1165405</v>
      </c>
      <c r="AM100" s="415">
        <f t="shared" si="20"/>
        <v>1378417</v>
      </c>
      <c r="AN100" s="415">
        <f t="shared" si="20"/>
        <v>1474382.4685164797</v>
      </c>
      <c r="AO100" s="415">
        <f t="shared" si="20"/>
        <v>1485076</v>
      </c>
      <c r="AP100" s="415">
        <f t="shared" ref="AP100:AQ100" si="21">AP98+AP99</f>
        <v>1596221</v>
      </c>
      <c r="AQ100" s="415">
        <f t="shared" si="21"/>
        <v>1662393</v>
      </c>
      <c r="AR100" s="415">
        <f t="shared" ref="AR100" si="22">AR98+AR99</f>
        <v>1591420.1783232917</v>
      </c>
      <c r="AS100" s="414">
        <v>1603073</v>
      </c>
      <c r="AT100" s="414">
        <v>1673195</v>
      </c>
      <c r="AU100" s="414">
        <v>2096419</v>
      </c>
      <c r="AV100" s="414">
        <v>2097311</v>
      </c>
      <c r="AW100" s="414">
        <v>2131264</v>
      </c>
      <c r="AX100" s="414">
        <v>2077290</v>
      </c>
      <c r="AY100" s="414">
        <v>2070158</v>
      </c>
      <c r="AZ100" s="414">
        <v>2020702</v>
      </c>
      <c r="BA100" s="414">
        <v>2046461</v>
      </c>
      <c r="BB100" s="414">
        <v>2025803</v>
      </c>
      <c r="BC100" s="414">
        <v>2202386</v>
      </c>
      <c r="BD100" s="2"/>
      <c r="BE100" s="2"/>
      <c r="BF100" s="6" t="s">
        <v>790</v>
      </c>
    </row>
    <row r="101" spans="1:58" outlineLevel="1">
      <c r="A101" s="2"/>
      <c r="B101" s="2"/>
      <c r="C101" s="2"/>
      <c r="D101" s="2"/>
      <c r="E101" s="321"/>
      <c r="F101" s="321"/>
      <c r="G101" s="321"/>
      <c r="H101" s="321"/>
      <c r="I101" s="321"/>
      <c r="J101" s="321"/>
      <c r="K101" s="321"/>
      <c r="L101" s="321"/>
      <c r="M101" s="321"/>
      <c r="N101" s="321"/>
      <c r="O101" s="321"/>
      <c r="P101" s="321"/>
      <c r="Q101" s="321"/>
      <c r="R101" s="321"/>
      <c r="S101" s="321"/>
      <c r="T101" s="321"/>
      <c r="U101" s="321"/>
      <c r="V101" s="321"/>
      <c r="W101" s="321"/>
      <c r="X101" s="321"/>
      <c r="Y101" s="321"/>
      <c r="Z101" s="321"/>
      <c r="AA101" s="321"/>
      <c r="AB101" s="321"/>
      <c r="AC101" s="321"/>
      <c r="AD101" s="321"/>
      <c r="AE101" s="322"/>
      <c r="AF101" s="322"/>
      <c r="AG101" s="322"/>
      <c r="AH101" s="322"/>
      <c r="AI101" s="322"/>
      <c r="AJ101" s="322"/>
      <c r="AK101" s="322"/>
      <c r="AL101" s="322"/>
      <c r="AM101" s="322"/>
      <c r="AN101" s="322"/>
      <c r="AO101" s="322"/>
      <c r="AP101" s="322"/>
      <c r="AQ101" s="322"/>
      <c r="AR101" s="322"/>
      <c r="AS101" s="322"/>
      <c r="AT101" s="322"/>
      <c r="AU101" s="322"/>
      <c r="AV101" s="322"/>
      <c r="AW101" s="322"/>
      <c r="AX101" s="322"/>
      <c r="AY101" s="322"/>
      <c r="AZ101" s="322"/>
      <c r="BA101" s="322"/>
      <c r="BB101" s="322"/>
      <c r="BC101" s="322"/>
      <c r="BD101" s="2"/>
      <c r="BE101" s="2"/>
    </row>
    <row r="102" spans="1:58">
      <c r="A102" s="2"/>
      <c r="B102" s="2"/>
      <c r="C102" s="2"/>
      <c r="D102" s="2"/>
      <c r="E102" s="321"/>
      <c r="F102" s="321"/>
      <c r="G102" s="321"/>
      <c r="H102" s="321"/>
      <c r="I102" s="321"/>
      <c r="J102" s="321"/>
      <c r="K102" s="321"/>
      <c r="L102" s="321"/>
      <c r="M102" s="321"/>
      <c r="N102" s="321"/>
      <c r="O102" s="321"/>
      <c r="P102" s="321"/>
      <c r="Q102" s="321"/>
      <c r="R102" s="321"/>
      <c r="S102" s="321"/>
      <c r="T102" s="321"/>
      <c r="U102" s="321"/>
      <c r="V102" s="321"/>
      <c r="W102" s="321"/>
      <c r="X102" s="321"/>
      <c r="Y102" s="321"/>
      <c r="Z102" s="321"/>
      <c r="AA102" s="321"/>
      <c r="AB102" s="321"/>
      <c r="AC102" s="321"/>
      <c r="AD102" s="321"/>
      <c r="AE102" s="322"/>
      <c r="AF102" s="322"/>
      <c r="AG102" s="322"/>
      <c r="AH102" s="322"/>
      <c r="AI102" s="322"/>
      <c r="AJ102" s="322"/>
      <c r="AK102" s="322"/>
      <c r="AL102" s="322"/>
      <c r="AM102" s="322"/>
      <c r="AN102" s="322"/>
      <c r="AO102" s="322"/>
      <c r="AP102" s="322"/>
      <c r="AQ102" s="322"/>
      <c r="AR102" s="322"/>
      <c r="AS102" s="322"/>
      <c r="AT102" s="322"/>
      <c r="AU102" s="322"/>
      <c r="AV102" s="322"/>
      <c r="AW102" s="322"/>
      <c r="AX102" s="322"/>
      <c r="AY102" s="322"/>
      <c r="AZ102" s="322"/>
      <c r="BA102" s="322"/>
      <c r="BB102" s="322"/>
      <c r="BC102" s="322"/>
      <c r="BD102" s="2"/>
      <c r="BE102" s="2"/>
    </row>
    <row r="103" spans="1:58" s="27" customFormat="1">
      <c r="A103" s="510" t="s">
        <v>401</v>
      </c>
      <c r="B103" s="510"/>
      <c r="C103" s="510"/>
      <c r="D103" s="510"/>
      <c r="E103" s="533" t="str">
        <f t="shared" ref="E103:Y103" si="23">E1</f>
        <v>4Q12</v>
      </c>
      <c r="F103" s="533" t="str">
        <f t="shared" si="23"/>
        <v>1Q13</v>
      </c>
      <c r="G103" s="533" t="str">
        <f t="shared" si="23"/>
        <v>2Q13</v>
      </c>
      <c r="H103" s="533" t="str">
        <f t="shared" si="23"/>
        <v>3Q13</v>
      </c>
      <c r="I103" s="533" t="str">
        <f t="shared" si="23"/>
        <v>4Q13</v>
      </c>
      <c r="J103" s="533" t="str">
        <f t="shared" si="23"/>
        <v>1Q14</v>
      </c>
      <c r="K103" s="533" t="str">
        <f t="shared" si="23"/>
        <v>2Q14</v>
      </c>
      <c r="L103" s="533" t="str">
        <f t="shared" si="23"/>
        <v>3Q14</v>
      </c>
      <c r="M103" s="533" t="str">
        <f t="shared" si="23"/>
        <v>4Q14</v>
      </c>
      <c r="N103" s="533" t="str">
        <f t="shared" si="23"/>
        <v>1Q15</v>
      </c>
      <c r="O103" s="533" t="str">
        <f t="shared" si="23"/>
        <v>2Q15</v>
      </c>
      <c r="P103" s="533" t="str">
        <f t="shared" si="23"/>
        <v>3Q15</v>
      </c>
      <c r="Q103" s="533" t="str">
        <f t="shared" si="23"/>
        <v>4Q15</v>
      </c>
      <c r="R103" s="533" t="str">
        <f t="shared" si="23"/>
        <v>1Q16</v>
      </c>
      <c r="S103" s="533" t="str">
        <f t="shared" si="23"/>
        <v>2Q16</v>
      </c>
      <c r="T103" s="533" t="str">
        <f t="shared" si="23"/>
        <v>3Q16</v>
      </c>
      <c r="U103" s="533" t="str">
        <f t="shared" si="23"/>
        <v>4Q16</v>
      </c>
      <c r="V103" s="533" t="str">
        <f t="shared" si="23"/>
        <v>1Q17</v>
      </c>
      <c r="W103" s="533" t="str">
        <f t="shared" si="23"/>
        <v>2Q17</v>
      </c>
      <c r="X103" s="533" t="str">
        <f t="shared" si="23"/>
        <v>3Q17</v>
      </c>
      <c r="Y103" s="533" t="str">
        <f t="shared" si="23"/>
        <v>4Q17</v>
      </c>
      <c r="Z103" s="533" t="str">
        <f t="shared" ref="Z103:BB103" si="24">Z80</f>
        <v>1Q18</v>
      </c>
      <c r="AA103" s="533" t="str">
        <f t="shared" si="24"/>
        <v>2Q18</v>
      </c>
      <c r="AB103" s="533" t="str">
        <f t="shared" si="24"/>
        <v>Q3 18</v>
      </c>
      <c r="AC103" s="533" t="str">
        <f t="shared" si="24"/>
        <v>Q4 18</v>
      </c>
      <c r="AD103" s="533" t="str">
        <f t="shared" si="24"/>
        <v>1Q19</v>
      </c>
      <c r="AE103" s="533" t="str">
        <f t="shared" si="24"/>
        <v>2Q19</v>
      </c>
      <c r="AF103" s="533" t="str">
        <f t="shared" si="24"/>
        <v>3Q19</v>
      </c>
      <c r="AG103" s="533" t="str">
        <f t="shared" si="24"/>
        <v>4Q19</v>
      </c>
      <c r="AH103" s="533" t="str">
        <f t="shared" si="24"/>
        <v>1Q20</v>
      </c>
      <c r="AI103" s="533" t="str">
        <f t="shared" si="24"/>
        <v>2Q20</v>
      </c>
      <c r="AJ103" s="533" t="str">
        <f t="shared" si="24"/>
        <v>3Q20</v>
      </c>
      <c r="AK103" s="533" t="str">
        <f t="shared" si="24"/>
        <v>4Q20</v>
      </c>
      <c r="AL103" s="533" t="str">
        <f t="shared" si="24"/>
        <v>1Q21</v>
      </c>
      <c r="AM103" s="533" t="str">
        <f t="shared" si="24"/>
        <v>2Q21</v>
      </c>
      <c r="AN103" s="533" t="str">
        <f t="shared" si="24"/>
        <v>3Q21</v>
      </c>
      <c r="AO103" s="533" t="str">
        <f t="shared" si="24"/>
        <v>4Q21</v>
      </c>
      <c r="AP103" s="533" t="str">
        <f t="shared" si="24"/>
        <v>1Q22</v>
      </c>
      <c r="AQ103" s="533" t="str">
        <f t="shared" si="24"/>
        <v>2Q22</v>
      </c>
      <c r="AR103" s="533" t="str">
        <f t="shared" si="24"/>
        <v>3Q22</v>
      </c>
      <c r="AS103" s="533" t="str">
        <f t="shared" si="24"/>
        <v>4Q22</v>
      </c>
      <c r="AT103" s="533" t="str">
        <f t="shared" si="24"/>
        <v>1Q23</v>
      </c>
      <c r="AU103" s="533" t="str">
        <f t="shared" si="24"/>
        <v>2Q23</v>
      </c>
      <c r="AV103" s="533" t="str">
        <f t="shared" si="24"/>
        <v>3Q23</v>
      </c>
      <c r="AW103" s="533" t="str">
        <f t="shared" si="24"/>
        <v>4Q23</v>
      </c>
      <c r="AX103" s="533" t="str">
        <f t="shared" si="24"/>
        <v>1Q24</v>
      </c>
      <c r="AY103" s="533" t="str">
        <f t="shared" si="24"/>
        <v>2Q24</v>
      </c>
      <c r="AZ103" s="533" t="str">
        <f t="shared" si="24"/>
        <v>3Q24</v>
      </c>
      <c r="BA103" s="533" t="str">
        <f t="shared" si="24"/>
        <v>4Q24</v>
      </c>
      <c r="BB103" s="533" t="str">
        <f t="shared" si="24"/>
        <v>1Q25</v>
      </c>
      <c r="BC103" s="533" t="str">
        <f t="shared" ref="BC103" si="25">BC80</f>
        <v>2Q25</v>
      </c>
      <c r="BD103" s="510"/>
      <c r="BE103" s="510"/>
    </row>
    <row r="104" spans="1:58" s="27" customFormat="1">
      <c r="A104" s="510" t="s">
        <v>460</v>
      </c>
      <c r="B104" s="510"/>
      <c r="C104" s="510"/>
      <c r="D104" s="510"/>
      <c r="E104" s="533"/>
      <c r="F104" s="533"/>
      <c r="G104" s="533"/>
      <c r="H104" s="533"/>
      <c r="I104" s="533"/>
      <c r="J104" s="533"/>
      <c r="K104" s="533"/>
      <c r="L104" s="533"/>
      <c r="M104" s="533"/>
      <c r="N104" s="533"/>
      <c r="O104" s="533"/>
      <c r="P104" s="533"/>
      <c r="Q104" s="533"/>
      <c r="R104" s="533"/>
      <c r="S104" s="533"/>
      <c r="T104" s="533"/>
      <c r="U104" s="533"/>
      <c r="V104" s="533"/>
      <c r="W104" s="533"/>
      <c r="X104" s="533"/>
      <c r="Y104" s="533"/>
      <c r="Z104" s="533"/>
      <c r="AA104" s="533"/>
      <c r="AB104" s="533"/>
      <c r="AC104" s="533"/>
      <c r="AD104" s="533"/>
      <c r="AE104" s="534"/>
      <c r="AF104" s="534"/>
      <c r="AG104" s="534"/>
      <c r="AH104" s="534"/>
      <c r="AI104" s="534"/>
      <c r="AJ104" s="534"/>
      <c r="AK104" s="534"/>
      <c r="AL104" s="534"/>
      <c r="AM104" s="534"/>
      <c r="AN104" s="534"/>
      <c r="AO104" s="534"/>
      <c r="AP104" s="534"/>
      <c r="AQ104" s="534"/>
      <c r="AR104" s="534"/>
      <c r="AS104" s="534"/>
      <c r="AT104" s="534"/>
      <c r="AU104" s="534"/>
      <c r="AV104" s="534"/>
      <c r="AW104" s="534"/>
      <c r="AX104" s="534"/>
      <c r="AY104" s="534"/>
      <c r="AZ104" s="534"/>
      <c r="BA104" s="534"/>
      <c r="BB104" s="534"/>
      <c r="BC104" s="534"/>
      <c r="BD104" s="510"/>
      <c r="BE104" s="510"/>
    </row>
    <row r="105" spans="1:58" outlineLevel="1">
      <c r="A105" s="2"/>
      <c r="B105" s="2"/>
      <c r="C105" s="2"/>
      <c r="D105" s="2"/>
      <c r="E105" s="321"/>
      <c r="F105" s="321"/>
      <c r="G105" s="321"/>
      <c r="H105" s="321"/>
      <c r="I105" s="321"/>
      <c r="J105" s="321"/>
      <c r="K105" s="321"/>
      <c r="L105" s="321"/>
      <c r="M105" s="321"/>
      <c r="N105" s="321"/>
      <c r="O105" s="321"/>
      <c r="P105" s="321"/>
      <c r="Q105" s="321"/>
      <c r="R105" s="321"/>
      <c r="S105" s="321"/>
      <c r="T105" s="321"/>
      <c r="U105" s="321"/>
      <c r="V105" s="321"/>
      <c r="W105" s="321"/>
      <c r="X105" s="321"/>
      <c r="Y105" s="321"/>
      <c r="Z105" s="321"/>
      <c r="AA105" s="321"/>
      <c r="AB105" s="321"/>
      <c r="AC105" s="321"/>
      <c r="AD105" s="321"/>
      <c r="AE105" s="322"/>
      <c r="AF105" s="322"/>
      <c r="AG105" s="322"/>
      <c r="AH105" s="322"/>
      <c r="AI105" s="322"/>
      <c r="AJ105" s="322"/>
      <c r="AK105" s="322"/>
      <c r="AL105" s="322"/>
      <c r="AM105" s="322"/>
      <c r="AN105" s="322"/>
      <c r="AO105" s="322"/>
      <c r="AP105" s="322"/>
      <c r="AQ105" s="322"/>
      <c r="AR105" s="322"/>
      <c r="AS105" s="322"/>
      <c r="AT105" s="322"/>
      <c r="AU105" s="322"/>
      <c r="AV105" s="322"/>
      <c r="AW105" s="322"/>
      <c r="AX105" s="322"/>
      <c r="AY105" s="322"/>
      <c r="AZ105" s="322"/>
      <c r="BA105" s="322"/>
      <c r="BB105" s="322"/>
      <c r="BC105" s="322"/>
      <c r="BD105" s="2"/>
      <c r="BE105" s="2"/>
    </row>
    <row r="106" spans="1:58" outlineLevel="1">
      <c r="A106" s="2"/>
      <c r="B106" s="2" t="s">
        <v>461</v>
      </c>
      <c r="C106" s="2"/>
      <c r="D106" s="2"/>
      <c r="E106" s="416"/>
      <c r="F106" s="416">
        <f>'Revenue, EBITDA, capex breakout'!F25-'Revenue, EBITDA, capex breakout'!F39</f>
        <v>23699</v>
      </c>
      <c r="G106" s="416">
        <f>'Revenue, EBITDA, capex breakout'!G25-'Revenue, EBITDA, capex breakout'!G39</f>
        <v>23502</v>
      </c>
      <c r="H106" s="416">
        <f>'Revenue, EBITDA, capex breakout'!H25-'Revenue, EBITDA, capex breakout'!H39</f>
        <v>38527</v>
      </c>
      <c r="I106" s="416">
        <f>'Revenue, EBITDA, capex breakout'!I25-'Revenue, EBITDA, capex breakout'!I39</f>
        <v>28386</v>
      </c>
      <c r="J106" s="416">
        <f>'Revenue, EBITDA, capex breakout'!J25-'Revenue, EBITDA, capex breakout'!J39</f>
        <v>44337.914000000004</v>
      </c>
      <c r="K106" s="416">
        <f>'Revenue, EBITDA, capex breakout'!K25-'Revenue, EBITDA, capex breakout'!K39</f>
        <v>48200.582000000002</v>
      </c>
      <c r="L106" s="416">
        <f>'Revenue, EBITDA, capex breakout'!L25-'Revenue, EBITDA, capex breakout'!L39</f>
        <v>46053</v>
      </c>
      <c r="M106" s="416">
        <f>'Revenue, EBITDA, capex breakout'!M25-'Revenue, EBITDA, capex breakout'!M39</f>
        <v>39908</v>
      </c>
      <c r="N106" s="416">
        <f>'Revenue, EBITDA, capex breakout'!N25-'Revenue, EBITDA, capex breakout'!N39</f>
        <v>37812</v>
      </c>
      <c r="O106" s="416">
        <f>'Revenue, EBITDA, capex breakout'!O25-'Revenue, EBITDA, capex breakout'!O39</f>
        <v>40223</v>
      </c>
      <c r="P106" s="416">
        <f>'Revenue, EBITDA, capex breakout'!P25-'Revenue, EBITDA, capex breakout'!P39</f>
        <v>33181</v>
      </c>
      <c r="Q106" s="416">
        <f>'Revenue, EBITDA, capex breakout'!Q25-'Revenue, EBITDA, capex breakout'!Q39</f>
        <v>16045</v>
      </c>
      <c r="R106" s="416">
        <f>'Revenue, EBITDA, capex breakout'!R25-'Revenue, EBITDA, capex breakout'!R39</f>
        <v>42696</v>
      </c>
      <c r="S106" s="416">
        <f>'Revenue, EBITDA, capex breakout'!S25-'Revenue, EBITDA, capex breakout'!S39</f>
        <v>42733</v>
      </c>
      <c r="T106" s="416">
        <f>'Revenue, EBITDA, capex breakout'!T25-'Revenue, EBITDA, capex breakout'!T39</f>
        <v>29666</v>
      </c>
      <c r="U106" s="416">
        <f>'Revenue, EBITDA, capex breakout'!U25-'Revenue, EBITDA, capex breakout'!U39</f>
        <v>31310</v>
      </c>
      <c r="V106" s="416">
        <f>'Revenue, EBITDA, capex breakout'!V25-'Revenue, EBITDA, capex breakout'!V39</f>
        <v>46661</v>
      </c>
      <c r="W106" s="416">
        <f>'Revenue, EBITDA, capex breakout'!W25-'Revenue, EBITDA, capex breakout'!W39</f>
        <v>41787</v>
      </c>
      <c r="X106" s="416">
        <f>'Revenue, EBITDA, capex breakout'!X25-'Revenue, EBITDA, capex breakout'!X39</f>
        <v>27168</v>
      </c>
      <c r="Y106" s="416">
        <f>'Revenue, EBITDA, capex breakout'!Y25-'Revenue, EBITDA, capex breakout'!Y39</f>
        <v>41846</v>
      </c>
      <c r="Z106" s="416">
        <f>'Revenue, EBITDA, capex breakout'!Z25-'Revenue, EBITDA, capex breakout'!Z39</f>
        <v>12374</v>
      </c>
      <c r="AA106" s="416">
        <f>'Revenue, EBITDA, capex breakout'!AA25-'Revenue, EBITDA, capex breakout'!AA39</f>
        <v>5199</v>
      </c>
      <c r="AB106" s="416">
        <f>'Revenue, EBITDA, capex breakout'!AB25-'Revenue, EBITDA, capex breakout'!AB39</f>
        <v>11214</v>
      </c>
      <c r="AC106" s="416">
        <f>'Revenue, EBITDA, capex breakout'!AC25-'Revenue, EBITDA, capex breakout'!AC39</f>
        <v>7517</v>
      </c>
      <c r="AD106" s="416">
        <f>'Revenue, EBITDA, capex breakout'!AD25-'Revenue, EBITDA, capex breakout'!AD39</f>
        <v>-13797</v>
      </c>
      <c r="AE106" s="416">
        <f>'Revenue, EBITDA, capex breakout'!AE25-'Revenue, EBITDA, capex breakout'!AE39</f>
        <v>-13412</v>
      </c>
      <c r="AF106" s="416">
        <f>'Revenue, EBITDA, capex breakout'!AF25-'Revenue, EBITDA, capex breakout'!AF39</f>
        <v>-2610</v>
      </c>
      <c r="AG106" s="416">
        <f>'Revenue, EBITDA, capex breakout'!AG25-'Revenue, EBITDA, capex breakout'!AG39</f>
        <v>5689</v>
      </c>
      <c r="AH106" s="416">
        <f>'Revenue, EBITDA, capex breakout'!AH25-'Revenue, EBITDA, capex breakout'!AH39</f>
        <v>34458</v>
      </c>
      <c r="AI106" s="416">
        <f>'Revenue, EBITDA, capex breakout'!AI25-'Revenue, EBITDA, capex breakout'!AI39</f>
        <v>51462</v>
      </c>
      <c r="AJ106" s="416">
        <f>'Revenue, EBITDA, capex breakout'!AJ25-'Revenue, EBITDA, capex breakout'!AJ39</f>
        <v>41669.611906492129</v>
      </c>
      <c r="AK106" s="416">
        <f>'Revenue, EBITDA, capex breakout'!AK25-'Revenue, EBITDA, capex breakout'!AK39</f>
        <v>-12836</v>
      </c>
      <c r="AL106" s="416">
        <f>'Revenue, EBITDA, capex breakout'!AL25-'Revenue, EBITDA, capex breakout'!AL39</f>
        <v>62436.026551990282</v>
      </c>
      <c r="AM106" s="416">
        <f>'Revenue, EBITDA, capex breakout'!AM25-'Revenue, EBITDA, capex breakout'!AM39</f>
        <v>46759.823587880936</v>
      </c>
      <c r="AN106" s="416">
        <f>'Revenue, EBITDA, capex breakout'!AN25-'Revenue, EBITDA, capex breakout'!AN39</f>
        <v>53139.45303640663</v>
      </c>
      <c r="AO106" s="416">
        <f>'Revenue, EBITDA, capex breakout'!AO25-'Revenue, EBITDA, capex breakout'!AO39</f>
        <v>57366</v>
      </c>
      <c r="AP106" s="416">
        <f>'Revenue, EBITDA, capex breakout'!AP25-'Revenue, EBITDA, capex breakout'!AP39</f>
        <v>65986</v>
      </c>
      <c r="AQ106" s="416">
        <f>'Revenue, EBITDA, capex breakout'!AQ25-'Revenue, EBITDA, capex breakout'!AQ39</f>
        <v>70455</v>
      </c>
      <c r="AR106" s="416">
        <f>'Revenue, EBITDA, capex breakout'!AR25-'Revenue, EBITDA, capex breakout'!AR39</f>
        <v>88032</v>
      </c>
      <c r="AS106" s="416">
        <f>'Revenue, EBITDA, capex breakout'!AS25-'Revenue, EBITDA, capex breakout'!AS39</f>
        <v>100013</v>
      </c>
      <c r="AT106" s="416">
        <f>'Revenue, EBITDA, capex breakout'!AT25-'Revenue, EBITDA, capex breakout'!AT39</f>
        <v>102062.49081186551</v>
      </c>
      <c r="AU106" s="416">
        <f>'Revenue, EBITDA, capex breakout'!AU25-'Revenue, EBITDA, capex breakout'!AU39</f>
        <v>106743</v>
      </c>
      <c r="AV106" s="416">
        <f>'Revenue, EBITDA, capex breakout'!AV25-'Revenue, EBITDA, capex breakout'!AV39</f>
        <v>92871.93332810163</v>
      </c>
      <c r="AW106" s="416">
        <f>'Revenue, EBITDA, capex breakout'!AW25-'Revenue, EBITDA, capex breakout'!AW39</f>
        <v>73707</v>
      </c>
      <c r="AX106" s="416">
        <f>'Revenue, EBITDA, capex breakout'!AX25-'Revenue, EBITDA, capex breakout'!AX39</f>
        <v>92603</v>
      </c>
      <c r="AY106" s="416">
        <f>'Revenue, EBITDA, capex breakout'!AY25-'Revenue, EBITDA, capex breakout'!AY39</f>
        <v>104588.91137091644</v>
      </c>
      <c r="AZ106" s="416">
        <f>'Revenue, EBITDA, capex breakout'!AZ25-'Revenue, EBITDA, capex breakout'!AZ39</f>
        <v>107702.87297764614</v>
      </c>
      <c r="BA106" s="416">
        <f>'Revenue, EBITDA, capex breakout'!BA25-'Revenue, EBITDA, capex breakout'!BA39</f>
        <v>90741.754821654773</v>
      </c>
      <c r="BB106" s="416">
        <f>'Revenue, EBITDA, capex breakout'!BB25-'Revenue, EBITDA, capex breakout'!BB39</f>
        <v>119372.44932576008</v>
      </c>
      <c r="BC106" s="416">
        <f>'Revenue, EBITDA, capex breakout'!BC25-'Revenue, EBITDA, capex breakout'!BC39</f>
        <v>143459.53967756711</v>
      </c>
      <c r="BD106" s="2"/>
      <c r="BE106" s="2"/>
    </row>
    <row r="107" spans="1:58" outlineLevel="1">
      <c r="A107" s="2"/>
      <c r="B107" s="2"/>
      <c r="C107" s="2"/>
      <c r="D107" s="2"/>
      <c r="E107" s="321"/>
      <c r="F107" s="321"/>
      <c r="G107" s="321"/>
      <c r="H107" s="321"/>
      <c r="I107" s="321"/>
      <c r="J107" s="321"/>
      <c r="K107" s="321"/>
      <c r="L107" s="321"/>
      <c r="M107" s="321"/>
      <c r="N107" s="321"/>
      <c r="O107" s="321"/>
      <c r="P107" s="321"/>
      <c r="Q107" s="321"/>
      <c r="R107" s="321"/>
      <c r="S107" s="321"/>
      <c r="T107" s="321"/>
      <c r="U107" s="321"/>
      <c r="V107" s="321"/>
      <c r="W107" s="321"/>
      <c r="X107" s="321"/>
      <c r="Y107" s="321"/>
      <c r="Z107" s="321"/>
      <c r="AA107" s="321"/>
      <c r="AB107" s="321"/>
      <c r="AC107" s="321"/>
      <c r="AD107" s="321"/>
      <c r="AE107" s="322"/>
      <c r="AF107" s="322"/>
      <c r="AG107" s="322"/>
      <c r="AH107" s="322"/>
      <c r="AI107" s="322"/>
      <c r="AJ107" s="322"/>
      <c r="AK107" s="322"/>
      <c r="AL107" s="322"/>
      <c r="AM107" s="322"/>
      <c r="AN107" s="322"/>
      <c r="AO107" s="322"/>
      <c r="AP107" s="322"/>
      <c r="AQ107" s="322"/>
      <c r="AR107" s="322"/>
      <c r="AS107" s="322"/>
      <c r="AT107" s="322"/>
      <c r="AU107" s="322"/>
      <c r="AV107" s="322"/>
      <c r="AW107" s="322"/>
      <c r="AX107" s="322"/>
      <c r="AY107" s="322"/>
      <c r="AZ107" s="322"/>
      <c r="BA107" s="322"/>
      <c r="BB107" s="322"/>
      <c r="BC107" s="322"/>
      <c r="BD107" s="2"/>
      <c r="BE107" s="2"/>
    </row>
    <row r="108" spans="1:58" outlineLevel="1">
      <c r="A108" s="2"/>
      <c r="B108" s="2" t="s">
        <v>462</v>
      </c>
      <c r="C108" s="2"/>
      <c r="D108" s="2"/>
      <c r="E108" s="321"/>
      <c r="F108" s="417">
        <f t="shared" ref="F108:AK108" si="26">F48+F62</f>
        <v>-10330.850700718847</v>
      </c>
      <c r="G108" s="417">
        <f t="shared" si="26"/>
        <v>-8387.6881960685751</v>
      </c>
      <c r="H108" s="417">
        <f t="shared" si="26"/>
        <v>-12229.232465441277</v>
      </c>
      <c r="I108" s="417">
        <f t="shared" si="26"/>
        <v>-6073.9034481195313</v>
      </c>
      <c r="J108" s="417">
        <f t="shared" si="26"/>
        <v>-8803.1945919999998</v>
      </c>
      <c r="K108" s="417">
        <f t="shared" si="26"/>
        <v>-9936.5942770000001</v>
      </c>
      <c r="L108" s="417">
        <f t="shared" si="26"/>
        <v>-9920.0357590000003</v>
      </c>
      <c r="M108" s="417">
        <f t="shared" si="26"/>
        <v>-7272.1753719999997</v>
      </c>
      <c r="N108" s="417">
        <f t="shared" si="26"/>
        <v>-8903</v>
      </c>
      <c r="O108" s="417">
        <f t="shared" si="26"/>
        <v>-6741</v>
      </c>
      <c r="P108" s="417">
        <f t="shared" si="26"/>
        <v>-7399</v>
      </c>
      <c r="Q108" s="417">
        <f t="shared" si="26"/>
        <v>-9537</v>
      </c>
      <c r="R108" s="417">
        <f t="shared" si="26"/>
        <v>-8822</v>
      </c>
      <c r="S108" s="417">
        <f t="shared" si="26"/>
        <v>-6865</v>
      </c>
      <c r="T108" s="417">
        <f t="shared" si="26"/>
        <v>-7179</v>
      </c>
      <c r="U108" s="417">
        <f t="shared" si="26"/>
        <v>-6363</v>
      </c>
      <c r="V108" s="417">
        <f t="shared" si="26"/>
        <v>-8379</v>
      </c>
      <c r="W108" s="417">
        <f t="shared" si="26"/>
        <v>-5872</v>
      </c>
      <c r="X108" s="417">
        <f t="shared" si="26"/>
        <v>-9369</v>
      </c>
      <c r="Y108" s="417">
        <f t="shared" si="26"/>
        <v>-32641</v>
      </c>
      <c r="Z108" s="417">
        <f t="shared" si="26"/>
        <v>-8922</v>
      </c>
      <c r="AA108" s="417">
        <f t="shared" si="26"/>
        <v>-4980</v>
      </c>
      <c r="AB108" s="417">
        <f t="shared" si="26"/>
        <v>-9808</v>
      </c>
      <c r="AC108" s="417">
        <f t="shared" si="26"/>
        <v>-32641</v>
      </c>
      <c r="AD108" s="417">
        <f t="shared" si="26"/>
        <v>-30055</v>
      </c>
      <c r="AE108" s="418">
        <f t="shared" si="26"/>
        <v>-4852</v>
      </c>
      <c r="AF108" s="418">
        <f t="shared" si="26"/>
        <v>-10193</v>
      </c>
      <c r="AG108" s="418">
        <f t="shared" si="26"/>
        <v>-26278</v>
      </c>
      <c r="AH108" s="418">
        <f t="shared" si="26"/>
        <v>-41651</v>
      </c>
      <c r="AI108" s="418">
        <f t="shared" si="26"/>
        <v>-13760.745830569336</v>
      </c>
      <c r="AJ108" s="418">
        <f t="shared" si="26"/>
        <v>-20510.499176279722</v>
      </c>
      <c r="AK108" s="418">
        <f t="shared" si="26"/>
        <v>-30529.808401887058</v>
      </c>
      <c r="AL108" s="418">
        <f t="shared" ref="AL108:BB108" si="27">AL48+AL62</f>
        <v>-21335.14803134447</v>
      </c>
      <c r="AM108" s="418">
        <f t="shared" si="27"/>
        <v>98.173688945229515</v>
      </c>
      <c r="AN108" s="418">
        <f t="shared" si="27"/>
        <v>0</v>
      </c>
      <c r="AO108" s="418">
        <f t="shared" si="27"/>
        <v>-12054.482241150596</v>
      </c>
      <c r="AP108" s="418">
        <f t="shared" si="27"/>
        <v>-18335.352902652809</v>
      </c>
      <c r="AQ108" s="418">
        <f t="shared" si="27"/>
        <v>-10719.104648418544</v>
      </c>
      <c r="AR108" s="418">
        <f t="shared" si="27"/>
        <v>-40847.029626363401</v>
      </c>
      <c r="AS108" s="418">
        <f t="shared" si="27"/>
        <v>-57635</v>
      </c>
      <c r="AT108" s="418">
        <f t="shared" si="27"/>
        <v>-16800.579528050603</v>
      </c>
      <c r="AU108" s="418">
        <f t="shared" si="27"/>
        <v>-11413.193815786733</v>
      </c>
      <c r="AV108" s="418">
        <f t="shared" si="27"/>
        <v>-16072.513572976022</v>
      </c>
      <c r="AW108" s="418">
        <f t="shared" si="27"/>
        <v>-19099</v>
      </c>
      <c r="AX108" s="418">
        <f t="shared" si="27"/>
        <v>-22159</v>
      </c>
      <c r="AY108" s="418">
        <f t="shared" si="27"/>
        <v>-53441</v>
      </c>
      <c r="AZ108" s="418">
        <f t="shared" si="27"/>
        <v>-20942.348401861665</v>
      </c>
      <c r="BA108" s="418">
        <f t="shared" si="27"/>
        <v>-38050.332788269938</v>
      </c>
      <c r="BB108" s="418">
        <f t="shared" si="27"/>
        <v>-39740.645559532248</v>
      </c>
      <c r="BC108" s="418">
        <f t="shared" ref="BC108" si="28">BC48+BC62</f>
        <v>-62927.082859177746</v>
      </c>
      <c r="BD108" s="2"/>
      <c r="BE108" s="2"/>
    </row>
    <row r="109" spans="1:58" outlineLevel="1">
      <c r="A109" s="2"/>
      <c r="B109" s="2" t="s">
        <v>463</v>
      </c>
      <c r="C109" s="2"/>
      <c r="D109" s="2"/>
      <c r="E109" s="321"/>
      <c r="F109" s="417">
        <f t="shared" ref="F109:AK109" si="29">F28</f>
        <v>-7143.083211486377</v>
      </c>
      <c r="G109" s="417">
        <f t="shared" si="29"/>
        <v>-10187.451639036135</v>
      </c>
      <c r="H109" s="417">
        <f t="shared" si="29"/>
        <v>-8205.4859685854026</v>
      </c>
      <c r="I109" s="417">
        <f t="shared" si="29"/>
        <v>-7074.0318422227174</v>
      </c>
      <c r="J109" s="417">
        <f t="shared" si="29"/>
        <v>-5474</v>
      </c>
      <c r="K109" s="417">
        <f t="shared" si="29"/>
        <v>-9168</v>
      </c>
      <c r="L109" s="417">
        <f t="shared" si="29"/>
        <v>-9595</v>
      </c>
      <c r="M109" s="417">
        <f t="shared" si="29"/>
        <v>-10802</v>
      </c>
      <c r="N109" s="417">
        <f t="shared" si="29"/>
        <v>-6641</v>
      </c>
      <c r="O109" s="417">
        <f t="shared" si="29"/>
        <v>-11237</v>
      </c>
      <c r="P109" s="417">
        <f t="shared" si="29"/>
        <v>-13880</v>
      </c>
      <c r="Q109" s="417">
        <f t="shared" si="29"/>
        <v>-14353</v>
      </c>
      <c r="R109" s="417">
        <f t="shared" si="29"/>
        <v>-10299</v>
      </c>
      <c r="S109" s="417">
        <f t="shared" si="29"/>
        <v>-15663</v>
      </c>
      <c r="T109" s="417">
        <f t="shared" si="29"/>
        <v>-11902</v>
      </c>
      <c r="U109" s="417">
        <f t="shared" si="29"/>
        <v>-8972</v>
      </c>
      <c r="V109" s="417">
        <f t="shared" si="29"/>
        <v>-6676</v>
      </c>
      <c r="W109" s="417">
        <f t="shared" si="29"/>
        <v>-11111</v>
      </c>
      <c r="X109" s="417">
        <f t="shared" si="29"/>
        <v>-4834</v>
      </c>
      <c r="Y109" s="417">
        <f t="shared" si="29"/>
        <v>-7852.8074783420379</v>
      </c>
      <c r="Z109" s="417">
        <f t="shared" si="29"/>
        <v>-1426</v>
      </c>
      <c r="AA109" s="417">
        <f t="shared" si="29"/>
        <v>-6084</v>
      </c>
      <c r="AB109" s="417">
        <f t="shared" si="29"/>
        <v>-1841</v>
      </c>
      <c r="AC109" s="417">
        <f t="shared" si="29"/>
        <v>-7852.8074783420379</v>
      </c>
      <c r="AD109" s="417">
        <f t="shared" si="29"/>
        <v>-7208</v>
      </c>
      <c r="AE109" s="418">
        <f t="shared" si="29"/>
        <v>-5175</v>
      </c>
      <c r="AF109" s="418">
        <f t="shared" si="29"/>
        <v>6372</v>
      </c>
      <c r="AG109" s="418">
        <f t="shared" si="29"/>
        <v>-5593</v>
      </c>
      <c r="AH109" s="418">
        <f t="shared" si="29"/>
        <v>-7188</v>
      </c>
      <c r="AI109" s="418">
        <f t="shared" si="29"/>
        <v>-6188.7591383758554</v>
      </c>
      <c r="AJ109" s="418">
        <f t="shared" si="29"/>
        <v>-5411.5030823085326</v>
      </c>
      <c r="AK109" s="418">
        <f t="shared" si="29"/>
        <v>-4148.2945124913895</v>
      </c>
      <c r="AL109" s="418">
        <f t="shared" ref="AL109:BB109" si="30">AL28</f>
        <v>-10078.910532155838</v>
      </c>
      <c r="AM109" s="418">
        <f t="shared" si="30"/>
        <v>-3397.2240887196313</v>
      </c>
      <c r="AN109" s="418">
        <f t="shared" si="30"/>
        <v>-5471.7868780692515</v>
      </c>
      <c r="AO109" s="418">
        <f t="shared" si="30"/>
        <v>-3379.9177070984369</v>
      </c>
      <c r="AP109" s="418">
        <f t="shared" si="30"/>
        <v>-12525.52764237882</v>
      </c>
      <c r="AQ109" s="418">
        <f t="shared" si="30"/>
        <v>-3954.7487256943677</v>
      </c>
      <c r="AR109" s="418">
        <f t="shared" si="30"/>
        <v>-6570.5442165842906</v>
      </c>
      <c r="AS109" s="418">
        <f t="shared" si="30"/>
        <v>1298</v>
      </c>
      <c r="AT109" s="418">
        <f t="shared" si="30"/>
        <v>-19943.327271166323</v>
      </c>
      <c r="AU109" s="418">
        <f t="shared" si="30"/>
        <v>-4977.1172753148167</v>
      </c>
      <c r="AV109" s="418">
        <f t="shared" si="30"/>
        <v>-8019.5153047814201</v>
      </c>
      <c r="AW109" s="418">
        <f t="shared" si="30"/>
        <v>-4975</v>
      </c>
      <c r="AX109" s="418">
        <f t="shared" si="30"/>
        <v>-14769</v>
      </c>
      <c r="AY109" s="418">
        <f t="shared" si="30"/>
        <v>-5326.3481587115712</v>
      </c>
      <c r="AZ109" s="418">
        <f t="shared" si="30"/>
        <v>-3458.9333193133571</v>
      </c>
      <c r="BA109" s="418">
        <f t="shared" si="30"/>
        <v>-5251.8210378449221</v>
      </c>
      <c r="BB109" s="418">
        <f t="shared" si="30"/>
        <v>-9175.2129700220867</v>
      </c>
      <c r="BC109" s="418">
        <f t="shared" ref="BC109" si="31">BC28</f>
        <v>-7387.8735410851295</v>
      </c>
      <c r="BD109" s="2"/>
      <c r="BE109" s="2"/>
    </row>
    <row r="110" spans="1:58" outlineLevel="1">
      <c r="A110" s="2"/>
      <c r="B110" s="2" t="s">
        <v>465</v>
      </c>
      <c r="C110" s="2"/>
      <c r="D110" s="2"/>
      <c r="E110" s="321"/>
      <c r="F110" s="417">
        <f t="shared" ref="F110:AK110" si="32">SUM(F18:F23)</f>
        <v>18513.300556066057</v>
      </c>
      <c r="G110" s="417">
        <f t="shared" si="32"/>
        <v>-4923.739980850989</v>
      </c>
      <c r="H110" s="417">
        <f t="shared" si="32"/>
        <v>6118.809286760923</v>
      </c>
      <c r="I110" s="417">
        <f t="shared" si="32"/>
        <v>-4184.5626448330086</v>
      </c>
      <c r="J110" s="417">
        <f t="shared" si="32"/>
        <v>9300</v>
      </c>
      <c r="K110" s="417">
        <f t="shared" si="32"/>
        <v>33545</v>
      </c>
      <c r="L110" s="417">
        <f t="shared" si="32"/>
        <v>-2384</v>
      </c>
      <c r="M110" s="417">
        <f t="shared" si="32"/>
        <v>-22928</v>
      </c>
      <c r="N110" s="417">
        <f t="shared" si="32"/>
        <v>8117</v>
      </c>
      <c r="O110" s="417">
        <f t="shared" si="32"/>
        <v>2837</v>
      </c>
      <c r="P110" s="417">
        <f t="shared" si="32"/>
        <v>5283</v>
      </c>
      <c r="Q110" s="417">
        <f t="shared" si="32"/>
        <v>-17876</v>
      </c>
      <c r="R110" s="417">
        <f t="shared" si="32"/>
        <v>17404</v>
      </c>
      <c r="S110" s="417">
        <f t="shared" si="32"/>
        <v>-5270</v>
      </c>
      <c r="T110" s="417">
        <f t="shared" si="32"/>
        <v>-4009.8801384384842</v>
      </c>
      <c r="U110" s="417">
        <f t="shared" si="32"/>
        <v>-12295.720923626433</v>
      </c>
      <c r="V110" s="417">
        <f t="shared" si="32"/>
        <v>10924.802035799461</v>
      </c>
      <c r="W110" s="417">
        <f t="shared" si="32"/>
        <v>-1434.6995334685053</v>
      </c>
      <c r="X110" s="417">
        <f t="shared" si="32"/>
        <v>-10555</v>
      </c>
      <c r="Y110" s="417">
        <f t="shared" si="32"/>
        <v>-27478.192521657966</v>
      </c>
      <c r="Z110" s="417">
        <f t="shared" si="32"/>
        <v>46290</v>
      </c>
      <c r="AA110" s="417">
        <f t="shared" si="32"/>
        <v>-23342</v>
      </c>
      <c r="AB110" s="417">
        <f t="shared" si="32"/>
        <v>-5140</v>
      </c>
      <c r="AC110" s="417">
        <f t="shared" si="32"/>
        <v>-28050.192521657966</v>
      </c>
      <c r="AD110" s="417">
        <f t="shared" si="32"/>
        <v>-17393</v>
      </c>
      <c r="AE110" s="418">
        <f t="shared" si="32"/>
        <v>-19006</v>
      </c>
      <c r="AF110" s="418">
        <f t="shared" si="32"/>
        <v>-7115</v>
      </c>
      <c r="AG110" s="418">
        <f t="shared" si="32"/>
        <v>-14740</v>
      </c>
      <c r="AH110" s="418">
        <f t="shared" si="32"/>
        <v>4901</v>
      </c>
      <c r="AI110" s="418">
        <f t="shared" si="32"/>
        <v>-17958.540824442105</v>
      </c>
      <c r="AJ110" s="418">
        <f t="shared" si="32"/>
        <v>23642.886481936042</v>
      </c>
      <c r="AK110" s="418">
        <f t="shared" si="32"/>
        <v>-176549.69242726808</v>
      </c>
      <c r="AL110" s="418">
        <f t="shared" ref="AL110:BB110" si="33">SUM(AL18:AL23)</f>
        <v>19528.347337746851</v>
      </c>
      <c r="AM110" s="418">
        <f t="shared" si="33"/>
        <v>-14683.846861753635</v>
      </c>
      <c r="AN110" s="418">
        <f t="shared" si="33"/>
        <v>4023.4381764696045</v>
      </c>
      <c r="AO110" s="418">
        <f t="shared" si="33"/>
        <v>-559.58431332934015</v>
      </c>
      <c r="AP110" s="418">
        <f t="shared" si="33"/>
        <v>1653.1659324504799</v>
      </c>
      <c r="AQ110" s="418">
        <f t="shared" si="33"/>
        <v>-9571.438140999122</v>
      </c>
      <c r="AR110" s="418">
        <f t="shared" si="33"/>
        <v>15523.594025810986</v>
      </c>
      <c r="AS110" s="418">
        <f t="shared" si="33"/>
        <v>-22077</v>
      </c>
      <c r="AT110" s="418">
        <f t="shared" si="33"/>
        <v>31210.46266635049</v>
      </c>
      <c r="AU110" s="418">
        <f t="shared" si="33"/>
        <v>-44883.000662726328</v>
      </c>
      <c r="AV110" s="418">
        <f t="shared" si="33"/>
        <v>10882.741344227348</v>
      </c>
      <c r="AW110" s="418">
        <f t="shared" si="33"/>
        <v>-28330</v>
      </c>
      <c r="AX110" s="418">
        <f t="shared" si="33"/>
        <v>21879</v>
      </c>
      <c r="AY110" s="418">
        <f t="shared" si="33"/>
        <v>-604.43494394116351</v>
      </c>
      <c r="AZ110" s="418">
        <f t="shared" si="33"/>
        <v>16917.123069167683</v>
      </c>
      <c r="BA110" s="418">
        <f t="shared" si="33"/>
        <v>-14053.390525765082</v>
      </c>
      <c r="BB110" s="418">
        <f t="shared" si="33"/>
        <v>24393.307353955177</v>
      </c>
      <c r="BC110" s="418">
        <f t="shared" ref="BC110" si="34">SUM(BC18:BC23)</f>
        <v>34890.071528815301</v>
      </c>
      <c r="BD110" s="2"/>
      <c r="BE110" s="2"/>
    </row>
    <row r="111" spans="1:58" outlineLevel="1">
      <c r="A111" s="2"/>
      <c r="B111" s="2" t="s">
        <v>466</v>
      </c>
      <c r="C111" s="2"/>
      <c r="D111" s="2"/>
      <c r="E111" s="321"/>
      <c r="F111" s="417">
        <f t="shared" ref="F111:AK111" si="35">F64</f>
        <v>0</v>
      </c>
      <c r="G111" s="417">
        <f t="shared" si="35"/>
        <v>-4412.3999999999996</v>
      </c>
      <c r="H111" s="417">
        <f t="shared" si="35"/>
        <v>0</v>
      </c>
      <c r="I111" s="417">
        <f t="shared" si="35"/>
        <v>0</v>
      </c>
      <c r="J111" s="417">
        <f t="shared" si="35"/>
        <v>0</v>
      </c>
      <c r="K111" s="417">
        <f t="shared" si="35"/>
        <v>-4439</v>
      </c>
      <c r="L111" s="417">
        <f t="shared" si="35"/>
        <v>0</v>
      </c>
      <c r="M111" s="417">
        <f t="shared" si="35"/>
        <v>0</v>
      </c>
      <c r="N111" s="417">
        <f t="shared" si="35"/>
        <v>0</v>
      </c>
      <c r="O111" s="417">
        <f t="shared" si="35"/>
        <v>-21331</v>
      </c>
      <c r="P111" s="417">
        <f t="shared" si="35"/>
        <v>-68</v>
      </c>
      <c r="Q111" s="417">
        <f t="shared" si="35"/>
        <v>0</v>
      </c>
      <c r="R111" s="417">
        <f t="shared" si="35"/>
        <v>0</v>
      </c>
      <c r="S111" s="417">
        <f t="shared" si="35"/>
        <v>-15304</v>
      </c>
      <c r="T111" s="417">
        <f t="shared" si="35"/>
        <v>0</v>
      </c>
      <c r="U111" s="417">
        <f t="shared" si="35"/>
        <v>0</v>
      </c>
      <c r="V111" s="417">
        <f t="shared" si="35"/>
        <v>-23</v>
      </c>
      <c r="W111" s="417">
        <f t="shared" si="35"/>
        <v>-9145</v>
      </c>
      <c r="X111" s="417">
        <f t="shared" si="35"/>
        <v>0</v>
      </c>
      <c r="Y111" s="417">
        <f t="shared" si="35"/>
        <v>0</v>
      </c>
      <c r="Z111" s="417">
        <f t="shared" si="35"/>
        <v>-10348</v>
      </c>
      <c r="AA111" s="417">
        <f t="shared" si="35"/>
        <v>-8468</v>
      </c>
      <c r="AB111" s="417">
        <f t="shared" si="35"/>
        <v>0</v>
      </c>
      <c r="AC111" s="417">
        <f t="shared" si="35"/>
        <v>0</v>
      </c>
      <c r="AD111" s="417">
        <f t="shared" si="35"/>
        <v>2</v>
      </c>
      <c r="AE111" s="418">
        <f t="shared" si="35"/>
        <v>-26700</v>
      </c>
      <c r="AF111" s="418">
        <f t="shared" si="35"/>
        <v>-19820</v>
      </c>
      <c r="AG111" s="418">
        <f t="shared" si="35"/>
        <v>0</v>
      </c>
      <c r="AH111" s="418">
        <f t="shared" si="35"/>
        <v>-7774</v>
      </c>
      <c r="AI111" s="418">
        <f t="shared" si="35"/>
        <v>-3784</v>
      </c>
      <c r="AJ111" s="418">
        <f t="shared" si="35"/>
        <v>-6376.6620820905919</v>
      </c>
      <c r="AK111" s="418">
        <f t="shared" si="35"/>
        <v>-328.35010745864201</v>
      </c>
      <c r="AL111" s="418">
        <f t="shared" ref="AL111:BB111" si="36">AL64</f>
        <v>-5678</v>
      </c>
      <c r="AM111" s="418">
        <f t="shared" si="36"/>
        <v>-17113.472383108674</v>
      </c>
      <c r="AN111" s="418">
        <f t="shared" si="36"/>
        <v>-4115</v>
      </c>
      <c r="AO111" s="418">
        <f t="shared" si="36"/>
        <v>0</v>
      </c>
      <c r="AP111" s="418">
        <f t="shared" si="36"/>
        <v>-2998.295796049747</v>
      </c>
      <c r="AQ111" s="418">
        <f t="shared" si="36"/>
        <v>-3783.0824552586482</v>
      </c>
      <c r="AR111" s="418">
        <f t="shared" si="36"/>
        <v>-6283.9597854516369</v>
      </c>
      <c r="AS111" s="418">
        <f t="shared" si="36"/>
        <v>-1373</v>
      </c>
      <c r="AT111" s="418">
        <f t="shared" si="36"/>
        <v>-4015.7426205937199</v>
      </c>
      <c r="AU111" s="418">
        <f t="shared" si="36"/>
        <v>-23146</v>
      </c>
      <c r="AV111" s="418">
        <f t="shared" si="36"/>
        <v>-8531.1596374601904</v>
      </c>
      <c r="AW111" s="418">
        <f t="shared" si="36"/>
        <v>-205</v>
      </c>
      <c r="AX111" s="418">
        <f t="shared" si="36"/>
        <v>-4032</v>
      </c>
      <c r="AY111" s="418">
        <f t="shared" si="36"/>
        <v>-29813</v>
      </c>
      <c r="AZ111" s="418">
        <f t="shared" si="36"/>
        <v>-8416.4662366482626</v>
      </c>
      <c r="BA111" s="418">
        <f t="shared" si="36"/>
        <v>416.31102773192106</v>
      </c>
      <c r="BB111" s="418">
        <f t="shared" si="36"/>
        <v>-4707.2026703595802</v>
      </c>
      <c r="BC111" s="418">
        <f t="shared" ref="BC111" si="37">BC64</f>
        <v>-54404.238634795751</v>
      </c>
      <c r="BD111" s="2"/>
      <c r="BE111" s="2"/>
    </row>
    <row r="112" spans="1:58" outlineLevel="1">
      <c r="A112" s="2"/>
      <c r="B112" s="2" t="s">
        <v>468</v>
      </c>
      <c r="C112" s="2"/>
      <c r="D112" s="2"/>
      <c r="E112" s="321"/>
      <c r="F112" s="417"/>
      <c r="G112" s="417"/>
      <c r="H112" s="417"/>
      <c r="I112" s="417"/>
      <c r="J112" s="417"/>
      <c r="K112" s="417"/>
      <c r="L112" s="417"/>
      <c r="M112" s="417"/>
      <c r="N112" s="417"/>
      <c r="O112" s="417">
        <f t="shared" ref="O112:T112" si="38">N84-O84</f>
        <v>-67706.620293999993</v>
      </c>
      <c r="P112" s="417">
        <f t="shared" si="38"/>
        <v>-67931.908649000005</v>
      </c>
      <c r="Q112" s="417">
        <f t="shared" si="38"/>
        <v>-3283.5152039999957</v>
      </c>
      <c r="R112" s="417">
        <f t="shared" si="38"/>
        <v>-51076.885651999997</v>
      </c>
      <c r="S112" s="417">
        <f t="shared" si="38"/>
        <v>-8033.2987030000077</v>
      </c>
      <c r="T112" s="417">
        <f t="shared" si="38"/>
        <v>-99310.610701999976</v>
      </c>
      <c r="U112" s="417">
        <v>-44280</v>
      </c>
      <c r="V112" s="417">
        <v>-35000</v>
      </c>
      <c r="W112" s="417"/>
      <c r="X112" s="417">
        <v>-142850</v>
      </c>
      <c r="Y112" s="417">
        <v>-142849</v>
      </c>
      <c r="Z112" s="417"/>
      <c r="AA112" s="417"/>
      <c r="AB112" s="417"/>
      <c r="AC112" s="417"/>
      <c r="AD112" s="417"/>
      <c r="AE112" s="418"/>
      <c r="AF112" s="418"/>
      <c r="AG112" s="418"/>
      <c r="AH112" s="418"/>
      <c r="AI112" s="418"/>
      <c r="AJ112" s="418"/>
      <c r="AK112" s="418"/>
      <c r="AL112" s="418"/>
      <c r="AM112" s="418"/>
      <c r="AN112" s="418"/>
      <c r="AO112" s="418"/>
      <c r="AP112" s="418"/>
      <c r="AQ112" s="418"/>
      <c r="AR112" s="418"/>
      <c r="AS112" s="418"/>
      <c r="AT112" s="418"/>
      <c r="AU112" s="418"/>
      <c r="AV112" s="418"/>
      <c r="AW112" s="418"/>
      <c r="AX112" s="418"/>
      <c r="AY112" s="418"/>
      <c r="AZ112" s="418"/>
      <c r="BA112" s="418"/>
      <c r="BB112" s="418"/>
      <c r="BC112" s="418"/>
      <c r="BD112" s="2"/>
      <c r="BE112" s="2"/>
    </row>
    <row r="113" spans="1:61" outlineLevel="1">
      <c r="A113" s="2"/>
      <c r="B113" s="2" t="s">
        <v>467</v>
      </c>
      <c r="C113" s="2"/>
      <c r="D113" s="2"/>
      <c r="E113" s="321"/>
      <c r="F113" s="417">
        <f>F38+F39+F40+F41+F42+F43+F44+F70+F57+F58</f>
        <v>-9280.7119199999997</v>
      </c>
      <c r="G113" s="417">
        <f>G38+G39+G40+G41+G42+G43+G44+G70+G57+G58</f>
        <v>3378.5483071009999</v>
      </c>
      <c r="H113" s="417">
        <f>H38+H39+H40+H41+H42+H43+H44+H70+H57+H58</f>
        <v>0</v>
      </c>
      <c r="I113" s="417">
        <f>I38+I39+I40+I41+I42+I43+I44+I70+I57+I58</f>
        <v>-12679.73820217</v>
      </c>
      <c r="J113" s="417">
        <f>J38+J39+J40+J41+J42+J43+J44+J70+J57+J58</f>
        <v>-14765</v>
      </c>
      <c r="K113" s="417">
        <f>K38+K39+K40+K41+K42+K43+K44+K45+K70+K57+K58</f>
        <v>-33752</v>
      </c>
      <c r="L113" s="417">
        <f t="shared" ref="L113:BB113" si="39">L38+L39+L40+L41+L42+L43+L44+L70+L57+L58</f>
        <v>-8497</v>
      </c>
      <c r="M113" s="417">
        <f t="shared" si="39"/>
        <v>-6595</v>
      </c>
      <c r="N113" s="417">
        <f t="shared" si="39"/>
        <v>222</v>
      </c>
      <c r="O113" s="417">
        <f t="shared" si="39"/>
        <v>-1142</v>
      </c>
      <c r="P113" s="417">
        <f t="shared" si="39"/>
        <v>-271</v>
      </c>
      <c r="Q113" s="417">
        <f t="shared" si="39"/>
        <v>3847</v>
      </c>
      <c r="R113" s="417">
        <f t="shared" si="39"/>
        <v>15149</v>
      </c>
      <c r="S113" s="417">
        <f t="shared" si="39"/>
        <v>67940</v>
      </c>
      <c r="T113" s="417">
        <f t="shared" si="39"/>
        <v>24047</v>
      </c>
      <c r="U113" s="417">
        <f t="shared" si="39"/>
        <v>-444</v>
      </c>
      <c r="V113" s="417">
        <f t="shared" si="39"/>
        <v>38696</v>
      </c>
      <c r="W113" s="417">
        <f t="shared" si="39"/>
        <v>9241</v>
      </c>
      <c r="X113" s="417">
        <f t="shared" si="39"/>
        <v>-9524</v>
      </c>
      <c r="Y113" s="417">
        <f t="shared" si="39"/>
        <v>13403</v>
      </c>
      <c r="Z113" s="417">
        <f t="shared" si="39"/>
        <v>7957</v>
      </c>
      <c r="AA113" s="417">
        <f t="shared" si="39"/>
        <v>-17576</v>
      </c>
      <c r="AB113" s="417">
        <f t="shared" si="39"/>
        <v>1556</v>
      </c>
      <c r="AC113" s="417">
        <f t="shared" si="39"/>
        <v>13403</v>
      </c>
      <c r="AD113" s="417">
        <f t="shared" si="39"/>
        <v>8966</v>
      </c>
      <c r="AE113" s="418">
        <f t="shared" si="39"/>
        <v>-8147</v>
      </c>
      <c r="AF113" s="418">
        <f t="shared" si="39"/>
        <v>-17479</v>
      </c>
      <c r="AG113" s="418">
        <f t="shared" si="39"/>
        <v>-3707</v>
      </c>
      <c r="AH113" s="418">
        <f t="shared" si="39"/>
        <v>-12526</v>
      </c>
      <c r="AI113" s="418">
        <f t="shared" si="39"/>
        <v>-3350.3866727422737</v>
      </c>
      <c r="AJ113" s="418">
        <f t="shared" si="39"/>
        <v>-17778.289769326137</v>
      </c>
      <c r="AK113" s="418">
        <f t="shared" si="39"/>
        <v>-14637.032080677558</v>
      </c>
      <c r="AL113" s="418">
        <f t="shared" si="39"/>
        <v>-13623.993891646227</v>
      </c>
      <c r="AM113" s="418">
        <f t="shared" si="39"/>
        <v>-11306.77299131755</v>
      </c>
      <c r="AN113" s="418">
        <f t="shared" si="39"/>
        <v>0</v>
      </c>
      <c r="AO113" s="418">
        <f t="shared" si="39"/>
        <v>0</v>
      </c>
      <c r="AP113" s="418">
        <f t="shared" si="39"/>
        <v>-18611.102520960394</v>
      </c>
      <c r="AQ113" s="418">
        <f t="shared" si="39"/>
        <v>-6235.8249935815547</v>
      </c>
      <c r="AR113" s="418">
        <f t="shared" si="39"/>
        <v>-30459.7928766734</v>
      </c>
      <c r="AS113" s="418">
        <f t="shared" si="39"/>
        <v>-45006</v>
      </c>
      <c r="AT113" s="418">
        <f t="shared" si="39"/>
        <v>-29330.465557797565</v>
      </c>
      <c r="AU113" s="418">
        <f t="shared" si="39"/>
        <v>-19296.771406464326</v>
      </c>
      <c r="AV113" s="418">
        <f t="shared" si="39"/>
        <v>-19209.727170931834</v>
      </c>
      <c r="AW113" s="418">
        <f t="shared" si="39"/>
        <v>-16907</v>
      </c>
      <c r="AX113" s="418">
        <f t="shared" si="39"/>
        <v>-19864.991594485429</v>
      </c>
      <c r="AY113" s="418">
        <f t="shared" si="39"/>
        <v>-21179</v>
      </c>
      <c r="AZ113" s="418">
        <f t="shared" si="39"/>
        <v>-19609.543469820812</v>
      </c>
      <c r="BA113" s="418">
        <f t="shared" si="39"/>
        <v>-25431.20038492747</v>
      </c>
      <c r="BB113" s="418">
        <f t="shared" si="39"/>
        <v>-28784.264662352485</v>
      </c>
      <c r="BC113" s="418">
        <f t="shared" ref="BC113" si="40">BC38+BC39+BC40+BC41+BC42+BC43+BC44+BC70+BC57+BC58</f>
        <v>-25238.599062458114</v>
      </c>
      <c r="BD113" s="2"/>
      <c r="BE113" s="2"/>
    </row>
    <row r="114" spans="1:61" hidden="1" outlineLevel="1">
      <c r="A114" s="2"/>
      <c r="B114" s="2"/>
      <c r="C114" s="2"/>
      <c r="D114" s="2"/>
      <c r="E114" s="321"/>
      <c r="F114" s="417"/>
      <c r="G114" s="417"/>
      <c r="H114" s="417"/>
      <c r="I114" s="417"/>
      <c r="J114" s="417"/>
      <c r="K114" s="417"/>
      <c r="L114" s="417"/>
      <c r="M114" s="417"/>
      <c r="N114" s="417"/>
      <c r="O114" s="417"/>
      <c r="P114" s="417"/>
      <c r="Q114" s="417"/>
      <c r="R114" s="417"/>
      <c r="S114" s="417"/>
      <c r="T114" s="417"/>
      <c r="U114" s="417"/>
      <c r="V114" s="417"/>
      <c r="W114" s="417"/>
      <c r="X114" s="417"/>
      <c r="Y114" s="417"/>
      <c r="Z114" s="417"/>
      <c r="AA114" s="417"/>
      <c r="AB114" s="417"/>
      <c r="AC114" s="417"/>
      <c r="AD114" s="417"/>
      <c r="AE114" s="418"/>
      <c r="AF114" s="418"/>
      <c r="AG114" s="418"/>
      <c r="AH114" s="418"/>
      <c r="AI114" s="418"/>
      <c r="AJ114" s="418"/>
      <c r="AK114" s="418"/>
      <c r="AL114" s="418"/>
      <c r="AM114" s="418"/>
      <c r="AN114" s="418"/>
      <c r="AO114" s="418"/>
      <c r="AP114" s="418"/>
      <c r="AQ114" s="418"/>
      <c r="AR114" s="418"/>
      <c r="AS114" s="418"/>
      <c r="AT114" s="418"/>
      <c r="AU114" s="418"/>
      <c r="AV114" s="418"/>
      <c r="AW114" s="418"/>
      <c r="AX114" s="418"/>
      <c r="AY114" s="418"/>
      <c r="AZ114" s="418"/>
      <c r="BA114" s="418"/>
      <c r="BB114" s="418"/>
      <c r="BC114" s="418"/>
      <c r="BD114" s="2"/>
      <c r="BE114" s="2"/>
    </row>
    <row r="115" spans="1:61" outlineLevel="1">
      <c r="A115" s="2"/>
      <c r="B115" s="2" t="s">
        <v>107</v>
      </c>
      <c r="C115" s="2"/>
      <c r="D115" s="2"/>
      <c r="E115" s="321"/>
      <c r="F115" s="417">
        <f>E100-F100-SUM(F106:F113)</f>
        <v>-48046.775718860838</v>
      </c>
      <c r="G115" s="417">
        <f t="shared" ref="G115:X115" si="41">F100-G100-SUM(G106:G113)</f>
        <v>16414.395000854664</v>
      </c>
      <c r="H115" s="417">
        <f t="shared" si="41"/>
        <v>563.91659326587614</v>
      </c>
      <c r="I115" s="417">
        <f t="shared" si="41"/>
        <v>6055.7827993452629</v>
      </c>
      <c r="J115" s="417">
        <f t="shared" si="41"/>
        <v>26593.998821999878</v>
      </c>
      <c r="K115" s="417">
        <f t="shared" si="41"/>
        <v>-50744.154190999921</v>
      </c>
      <c r="L115" s="417">
        <f t="shared" si="41"/>
        <v>21413.082869000042</v>
      </c>
      <c r="M115" s="417">
        <f>L100-M100-SUM(M106:M113)</f>
        <v>-21297.268984000053</v>
      </c>
      <c r="N115" s="417">
        <f t="shared" si="41"/>
        <v>-2633.9379969999427</v>
      </c>
      <c r="O115" s="417">
        <f t="shared" si="41"/>
        <v>20382.585838999919</v>
      </c>
      <c r="P115" s="417">
        <f t="shared" si="41"/>
        <v>4856.1645590000699</v>
      </c>
      <c r="Q115" s="417">
        <f t="shared" si="41"/>
        <v>25127.805770999927</v>
      </c>
      <c r="R115" s="417">
        <f t="shared" si="41"/>
        <v>-17978.740407617384</v>
      </c>
      <c r="S115" s="417">
        <f t="shared" si="41"/>
        <v>-85962.88003683131</v>
      </c>
      <c r="T115" s="417">
        <f t="shared" si="41"/>
        <v>-64975.822399091499</v>
      </c>
      <c r="U115" s="417">
        <f t="shared" si="41"/>
        <v>-10497.743103664849</v>
      </c>
      <c r="V115" s="417">
        <f t="shared" si="41"/>
        <v>-42666.518653520478</v>
      </c>
      <c r="W115" s="417">
        <f t="shared" si="41"/>
        <v>-7658.0560335011251</v>
      </c>
      <c r="X115" s="417">
        <f t="shared" si="41"/>
        <v>-10209.373931556824</v>
      </c>
      <c r="Y115" s="417">
        <f t="shared" ref="Y115" si="42">X100-Y100-SUM(Y106:Y113)</f>
        <v>218831.21047741896</v>
      </c>
      <c r="Z115" s="417">
        <f t="shared" ref="Z115:AG115" si="43">Y100-Z100-SUM(Z106:Z113)</f>
        <v>-9169.4258225836093</v>
      </c>
      <c r="AA115" s="417">
        <f t="shared" si="43"/>
        <v>20735.105860682088</v>
      </c>
      <c r="AB115" s="417">
        <f t="shared" si="43"/>
        <v>6797.3064399898285</v>
      </c>
      <c r="AC115" s="417">
        <f t="shared" si="43"/>
        <v>12092.38580383989</v>
      </c>
      <c r="AD115" s="417">
        <f t="shared" si="43"/>
        <v>-18600.324755319976</v>
      </c>
      <c r="AE115" s="418">
        <f t="shared" si="43"/>
        <v>-27909.297207496827</v>
      </c>
      <c r="AF115" s="418">
        <f t="shared" si="43"/>
        <v>122224.06473741517</v>
      </c>
      <c r="AG115" s="418">
        <f t="shared" si="43"/>
        <v>27697.85245132586</v>
      </c>
      <c r="AH115" s="418">
        <f t="shared" ref="AH115:AO115" si="44">AG100-AH100-SUM(AH106:AH113)</f>
        <v>-6779.4566033619922</v>
      </c>
      <c r="AI115" s="418">
        <f t="shared" si="44"/>
        <v>-21026.098400262388</v>
      </c>
      <c r="AJ115" s="418">
        <f t="shared" si="44"/>
        <v>16636.455721576818</v>
      </c>
      <c r="AK115" s="418">
        <f t="shared" si="44"/>
        <v>199632.17752978276</v>
      </c>
      <c r="AL115" s="418">
        <f t="shared" si="44"/>
        <v>-8063.3214345906017</v>
      </c>
      <c r="AM115" s="418">
        <f t="shared" si="44"/>
        <v>-213368.68095192668</v>
      </c>
      <c r="AN115" s="418">
        <f t="shared" si="44"/>
        <v>-143541.57285128668</v>
      </c>
      <c r="AO115" s="418">
        <f t="shared" si="44"/>
        <v>-52065.547221941917</v>
      </c>
      <c r="AP115" s="418">
        <f t="shared" ref="AP115:BC115" si="45">AO100-AP100-SUM(AP106:AP113)</f>
        <v>-126313.88707040872</v>
      </c>
      <c r="AQ115" s="418">
        <f t="shared" si="45"/>
        <v>-102362.80103604778</v>
      </c>
      <c r="AR115" s="418">
        <f t="shared" si="45"/>
        <v>51578.554155970036</v>
      </c>
      <c r="AS115" s="418">
        <f t="shared" si="45"/>
        <v>13127.178323291708</v>
      </c>
      <c r="AT115" s="418">
        <f t="shared" si="45"/>
        <v>-133304.83850060782</v>
      </c>
      <c r="AU115" s="418">
        <f t="shared" si="45"/>
        <v>-426250.91683970782</v>
      </c>
      <c r="AV115" s="418">
        <f t="shared" si="45"/>
        <v>-52813.758986179513</v>
      </c>
      <c r="AW115" s="418">
        <f t="shared" si="45"/>
        <v>-38144</v>
      </c>
      <c r="AX115" s="418">
        <f t="shared" si="45"/>
        <v>316.99159448542923</v>
      </c>
      <c r="AY115" s="418">
        <f t="shared" si="45"/>
        <v>12906.87173173629</v>
      </c>
      <c r="AZ115" s="418">
        <f t="shared" si="45"/>
        <v>-22736.70461916973</v>
      </c>
      <c r="BA115" s="418">
        <f t="shared" si="45"/>
        <v>-34130.32111257928</v>
      </c>
      <c r="BB115" s="418">
        <f t="shared" si="45"/>
        <v>-40700.430817448876</v>
      </c>
      <c r="BC115" s="418">
        <f t="shared" si="45"/>
        <v>-204974.81710886565</v>
      </c>
      <c r="BD115" s="2"/>
      <c r="BE115" s="2"/>
    </row>
    <row r="116" spans="1:61" hidden="1" outlineLevel="1">
      <c r="A116" s="2"/>
      <c r="B116" s="2"/>
      <c r="C116" s="2"/>
      <c r="D116" s="2"/>
      <c r="E116" s="321"/>
      <c r="F116" s="417"/>
      <c r="G116" s="417"/>
      <c r="H116" s="417"/>
      <c r="I116" s="417"/>
      <c r="J116" s="417"/>
      <c r="K116" s="417"/>
      <c r="L116" s="417"/>
      <c r="M116" s="417"/>
      <c r="N116" s="417"/>
      <c r="O116" s="417"/>
      <c r="P116" s="417"/>
      <c r="Q116" s="417"/>
      <c r="R116" s="417"/>
      <c r="S116" s="417"/>
      <c r="T116" s="417"/>
      <c r="U116" s="417"/>
      <c r="V116" s="417"/>
      <c r="W116" s="417"/>
      <c r="X116" s="417"/>
      <c r="Y116" s="417"/>
      <c r="Z116" s="417"/>
      <c r="AA116" s="417"/>
      <c r="AB116" s="417"/>
      <c r="AC116" s="417"/>
      <c r="AD116" s="417"/>
      <c r="AE116" s="418"/>
      <c r="AF116" s="418"/>
      <c r="AG116" s="418"/>
      <c r="AH116" s="418"/>
      <c r="AI116" s="418"/>
      <c r="AJ116" s="418"/>
      <c r="AK116" s="418"/>
      <c r="AL116" s="418"/>
      <c r="AM116" s="418"/>
      <c r="AN116" s="418"/>
      <c r="AO116" s="418"/>
      <c r="AP116" s="418"/>
      <c r="AQ116" s="418"/>
      <c r="AR116" s="418"/>
      <c r="AS116" s="418"/>
      <c r="AT116" s="418"/>
      <c r="AU116" s="418"/>
      <c r="AV116" s="418"/>
      <c r="AW116" s="418"/>
      <c r="AX116" s="418"/>
      <c r="AY116" s="418"/>
      <c r="AZ116" s="418"/>
      <c r="BA116" s="418"/>
      <c r="BB116" s="418"/>
      <c r="BC116" s="418"/>
      <c r="BD116" s="2"/>
      <c r="BE116" s="2"/>
    </row>
    <row r="117" spans="1:61" hidden="1" outlineLevel="1">
      <c r="A117" s="2"/>
      <c r="B117" s="2"/>
      <c r="C117" s="2"/>
      <c r="D117" s="2"/>
      <c r="E117" s="321"/>
      <c r="F117" s="417"/>
      <c r="G117" s="417"/>
      <c r="H117" s="417"/>
      <c r="I117" s="417"/>
      <c r="J117" s="417"/>
      <c r="K117" s="417"/>
      <c r="L117" s="417"/>
      <c r="M117" s="417"/>
      <c r="N117" s="417"/>
      <c r="O117" s="417"/>
      <c r="P117" s="417"/>
      <c r="Q117" s="417"/>
      <c r="R117" s="417"/>
      <c r="S117" s="417"/>
      <c r="T117" s="417"/>
      <c r="U117" s="417"/>
      <c r="V117" s="417"/>
      <c r="W117" s="417"/>
      <c r="X117" s="417"/>
      <c r="Y117" s="417"/>
      <c r="Z117" s="417"/>
      <c r="AA117" s="417"/>
      <c r="AB117" s="417"/>
      <c r="AC117" s="417"/>
      <c r="AD117" s="417"/>
      <c r="AE117" s="418"/>
      <c r="AF117" s="418"/>
      <c r="AG117" s="418"/>
      <c r="AH117" s="418"/>
      <c r="AI117" s="418"/>
      <c r="AJ117" s="418"/>
      <c r="AK117" s="418"/>
      <c r="AL117" s="418"/>
      <c r="AM117" s="418"/>
      <c r="AN117" s="418"/>
      <c r="AO117" s="418"/>
      <c r="AP117" s="418"/>
      <c r="AQ117" s="418"/>
      <c r="AR117" s="418"/>
      <c r="AS117" s="418"/>
      <c r="AT117" s="418"/>
      <c r="AU117" s="418"/>
      <c r="AV117" s="418"/>
      <c r="AW117" s="418"/>
      <c r="AX117" s="418"/>
      <c r="AY117" s="418"/>
      <c r="AZ117" s="418"/>
      <c r="BA117" s="418"/>
      <c r="BB117" s="418"/>
      <c r="BC117" s="418"/>
      <c r="BD117" s="2"/>
      <c r="BE117" s="2"/>
    </row>
    <row r="118" spans="1:61" outlineLevel="1">
      <c r="A118" s="2"/>
      <c r="B118" s="13" t="s">
        <v>464</v>
      </c>
      <c r="C118" s="13"/>
      <c r="D118" s="13"/>
      <c r="E118" s="419"/>
      <c r="F118" s="420">
        <f>SUM(F106:F116)</f>
        <v>-32589.120995000005</v>
      </c>
      <c r="G118" s="420">
        <f t="shared" ref="G118:X118" si="46">SUM(G106:G116)</f>
        <v>15383.663491999965</v>
      </c>
      <c r="H118" s="420">
        <f t="shared" si="46"/>
        <v>24775.00744600012</v>
      </c>
      <c r="I118" s="420">
        <f t="shared" si="46"/>
        <v>4429.5466620000079</v>
      </c>
      <c r="J118" s="420">
        <f t="shared" si="46"/>
        <v>51189.718229999882</v>
      </c>
      <c r="K118" s="420">
        <f t="shared" si="46"/>
        <v>-26294.166467999923</v>
      </c>
      <c r="L118" s="420">
        <f t="shared" si="46"/>
        <v>37070.047110000043</v>
      </c>
      <c r="M118" s="420">
        <f t="shared" si="46"/>
        <v>-28986.444356000051</v>
      </c>
      <c r="N118" s="420">
        <f t="shared" si="46"/>
        <v>27973.062003000057</v>
      </c>
      <c r="O118" s="420">
        <f t="shared" si="46"/>
        <v>-44715.034455000074</v>
      </c>
      <c r="P118" s="420">
        <f t="shared" si="46"/>
        <v>-46229.744089999935</v>
      </c>
      <c r="Q118" s="420">
        <f t="shared" si="46"/>
        <v>-29.709433000069112</v>
      </c>
      <c r="R118" s="420">
        <f t="shared" si="46"/>
        <v>-12927.626059617382</v>
      </c>
      <c r="S118" s="420">
        <f t="shared" si="46"/>
        <v>-26425.178739831317</v>
      </c>
      <c r="T118" s="420">
        <f t="shared" si="46"/>
        <v>-133664.31323952996</v>
      </c>
      <c r="U118" s="420">
        <f t="shared" si="46"/>
        <v>-51542.46402729128</v>
      </c>
      <c r="V118" s="420">
        <f t="shared" si="46"/>
        <v>3537.2833822789835</v>
      </c>
      <c r="W118" s="420">
        <f t="shared" si="46"/>
        <v>15807.24443303037</v>
      </c>
      <c r="X118" s="420">
        <f t="shared" si="46"/>
        <v>-160173.37393155682</v>
      </c>
      <c r="Y118" s="420">
        <f t="shared" ref="Y118" si="47">SUM(Y106:Y116)</f>
        <v>63259.210477418965</v>
      </c>
      <c r="Z118" s="420">
        <f t="shared" ref="Z118:AF118" si="48">SUM(Z106:Z116)</f>
        <v>36755.574177416391</v>
      </c>
      <c r="AA118" s="420">
        <f t="shared" si="48"/>
        <v>-34515.894139317912</v>
      </c>
      <c r="AB118" s="420">
        <f t="shared" si="48"/>
        <v>2778.3064399898285</v>
      </c>
      <c r="AC118" s="420">
        <f t="shared" si="48"/>
        <v>-35531.61419616011</v>
      </c>
      <c r="AD118" s="420">
        <f t="shared" si="48"/>
        <v>-78085.324755319976</v>
      </c>
      <c r="AE118" s="421">
        <f t="shared" si="48"/>
        <v>-105201.29720749683</v>
      </c>
      <c r="AF118" s="421">
        <f t="shared" si="48"/>
        <v>71379.064737415174</v>
      </c>
      <c r="AG118" s="421">
        <f t="shared" ref="AG118:AH118" si="49">SUM(AG106:AG116)</f>
        <v>-16931.14754867414</v>
      </c>
      <c r="AH118" s="421">
        <f t="shared" si="49"/>
        <v>-36559.456603361992</v>
      </c>
      <c r="AI118" s="421">
        <f t="shared" ref="AI118" si="50">SUM(AI106:AI116)</f>
        <v>-14606.530866391959</v>
      </c>
      <c r="AJ118" s="421">
        <f t="shared" ref="AJ118:AK118" si="51">SUM(AJ106:AJ116)</f>
        <v>31872</v>
      </c>
      <c r="AK118" s="421">
        <f t="shared" si="51"/>
        <v>-39397</v>
      </c>
      <c r="AL118" s="421">
        <f t="shared" ref="AL118:AM118" si="52">SUM(AL106:AL116)</f>
        <v>23185</v>
      </c>
      <c r="AM118" s="421">
        <f t="shared" si="52"/>
        <v>-213012</v>
      </c>
      <c r="AN118" s="421">
        <f t="shared" ref="AN118" si="53">SUM(AN106:AN116)</f>
        <v>-95965.468516479697</v>
      </c>
      <c r="AO118" s="421">
        <f t="shared" ref="AO118" si="54">SUM(AO106:AO116)</f>
        <v>-10693.531483520288</v>
      </c>
      <c r="AP118" s="421">
        <f t="shared" ref="AP118:AQ118" si="55">SUM(AP106:AP116)</f>
        <v>-111145</v>
      </c>
      <c r="AQ118" s="421">
        <f t="shared" si="55"/>
        <v>-66172</v>
      </c>
      <c r="AR118" s="421">
        <f t="shared" ref="AR118:AS118" si="56">SUM(AR106:AR116)</f>
        <v>70972.821676708292</v>
      </c>
      <c r="AS118" s="421">
        <f t="shared" si="56"/>
        <v>-11652.821676708292</v>
      </c>
      <c r="AT118" s="421">
        <f t="shared" ref="AT118:AU118" si="57">SUM(AT106:AT116)</f>
        <v>-70122.000000000015</v>
      </c>
      <c r="AU118" s="421">
        <f t="shared" si="57"/>
        <v>-423224</v>
      </c>
      <c r="AV118" s="421">
        <f t="shared" ref="AV118:AW118" si="58">SUM(AV106:AV116)</f>
        <v>-892</v>
      </c>
      <c r="AW118" s="421">
        <f t="shared" si="58"/>
        <v>-33953</v>
      </c>
      <c r="AX118" s="421">
        <f t="shared" ref="AX118:AY118" si="59">SUM(AX106:AX116)</f>
        <v>53974</v>
      </c>
      <c r="AY118" s="421">
        <f t="shared" si="59"/>
        <v>7132</v>
      </c>
      <c r="AZ118" s="421">
        <f t="shared" ref="AZ118:BA118" si="60">SUM(AZ106:AZ116)</f>
        <v>49456</v>
      </c>
      <c r="BA118" s="421">
        <f t="shared" si="60"/>
        <v>-25759</v>
      </c>
      <c r="BB118" s="421">
        <f t="shared" ref="BB118:BC118" si="61">SUM(BB106:BB116)</f>
        <v>20658</v>
      </c>
      <c r="BC118" s="421">
        <f t="shared" si="61"/>
        <v>-176583</v>
      </c>
      <c r="BD118" s="13"/>
      <c r="BE118" s="144"/>
    </row>
    <row r="119" spans="1:61">
      <c r="A119" s="2"/>
      <c r="B119" s="2"/>
      <c r="C119" s="2"/>
      <c r="D119" s="2"/>
      <c r="E119" s="321"/>
      <c r="F119" s="417"/>
      <c r="G119" s="417"/>
      <c r="H119" s="417"/>
      <c r="I119" s="417"/>
      <c r="J119" s="417"/>
      <c r="K119" s="417"/>
      <c r="L119" s="417"/>
      <c r="M119" s="417"/>
      <c r="N119" s="417"/>
      <c r="O119" s="417"/>
      <c r="P119" s="417"/>
      <c r="Q119" s="417"/>
      <c r="R119" s="417"/>
      <c r="S119" s="417"/>
      <c r="T119" s="417"/>
      <c r="U119" s="417"/>
      <c r="V119" s="417"/>
      <c r="W119" s="417"/>
      <c r="X119" s="417"/>
      <c r="Y119" s="417"/>
      <c r="Z119" s="417"/>
      <c r="AA119" s="417"/>
      <c r="AB119" s="417"/>
      <c r="AC119" s="417"/>
      <c r="AD119" s="417"/>
      <c r="AE119" s="418"/>
      <c r="AF119" s="418"/>
      <c r="AG119" s="418"/>
      <c r="AH119" s="418"/>
      <c r="AI119" s="418"/>
      <c r="AJ119" s="418"/>
      <c r="AK119" s="418"/>
      <c r="AL119" s="418"/>
      <c r="AM119" s="418"/>
      <c r="AN119" s="418"/>
      <c r="AO119" s="418"/>
      <c r="AP119" s="418"/>
      <c r="AQ119" s="418"/>
      <c r="AR119" s="418"/>
      <c r="AS119" s="418"/>
      <c r="AT119" s="418"/>
      <c r="AU119" s="418"/>
      <c r="AV119" s="418"/>
      <c r="AW119" s="418"/>
      <c r="AX119" s="418"/>
      <c r="AY119" s="418"/>
      <c r="AZ119" s="418"/>
      <c r="BA119" s="418"/>
      <c r="BB119" s="418"/>
      <c r="BC119" s="418"/>
      <c r="BD119" s="2"/>
      <c r="BE119" s="2"/>
    </row>
    <row r="120" spans="1:61">
      <c r="A120" s="2"/>
      <c r="B120" s="2"/>
      <c r="C120" s="2"/>
      <c r="D120" s="2"/>
      <c r="E120" s="321"/>
      <c r="F120" s="321"/>
      <c r="G120" s="321"/>
      <c r="H120" s="321"/>
      <c r="I120" s="321"/>
      <c r="J120" s="321"/>
      <c r="K120" s="321"/>
      <c r="L120" s="321"/>
      <c r="M120" s="321"/>
      <c r="N120" s="321"/>
      <c r="O120" s="321"/>
      <c r="P120" s="321"/>
      <c r="Q120" s="321"/>
      <c r="R120" s="321"/>
      <c r="S120" s="321"/>
      <c r="T120" s="321"/>
      <c r="U120" s="321"/>
      <c r="V120" s="321"/>
      <c r="W120" s="321"/>
      <c r="X120" s="321"/>
      <c r="Y120" s="321"/>
      <c r="Z120" s="321"/>
      <c r="AA120" s="321"/>
      <c r="AB120" s="321"/>
      <c r="AC120" s="321"/>
      <c r="AD120" s="321"/>
      <c r="AE120" s="322"/>
      <c r="AF120" s="322"/>
      <c r="AG120" s="322"/>
      <c r="AH120" s="322"/>
      <c r="AI120" s="322"/>
      <c r="AJ120" s="322"/>
      <c r="AK120" s="322"/>
      <c r="AL120" s="322"/>
      <c r="AM120" s="322"/>
      <c r="AN120" s="322"/>
      <c r="AO120" s="322"/>
      <c r="AP120" s="322"/>
      <c r="AQ120" s="322"/>
      <c r="AR120" s="322"/>
      <c r="AS120" s="322"/>
      <c r="AT120" s="322"/>
      <c r="AU120" s="322"/>
      <c r="AV120" s="322"/>
      <c r="AW120" s="322"/>
      <c r="AX120" s="322"/>
      <c r="AY120" s="322"/>
      <c r="AZ120" s="322"/>
      <c r="BA120" s="322"/>
      <c r="BB120" s="322"/>
      <c r="BC120" s="322"/>
      <c r="BD120" s="2"/>
      <c r="BE120" s="2"/>
    </row>
    <row r="121" spans="1:61" s="27" customFormat="1">
      <c r="A121" s="510" t="s">
        <v>401</v>
      </c>
      <c r="B121" s="510"/>
      <c r="C121" s="510"/>
      <c r="D121" s="510"/>
      <c r="E121" s="533" t="str">
        <f t="shared" ref="E121:Y121" si="62">E1</f>
        <v>4Q12</v>
      </c>
      <c r="F121" s="533" t="str">
        <f t="shared" si="62"/>
        <v>1Q13</v>
      </c>
      <c r="G121" s="533" t="str">
        <f t="shared" si="62"/>
        <v>2Q13</v>
      </c>
      <c r="H121" s="533" t="str">
        <f t="shared" si="62"/>
        <v>3Q13</v>
      </c>
      <c r="I121" s="533" t="str">
        <f t="shared" si="62"/>
        <v>4Q13</v>
      </c>
      <c r="J121" s="533" t="str">
        <f t="shared" si="62"/>
        <v>1Q14</v>
      </c>
      <c r="K121" s="533" t="str">
        <f t="shared" si="62"/>
        <v>2Q14</v>
      </c>
      <c r="L121" s="533" t="str">
        <f t="shared" si="62"/>
        <v>3Q14</v>
      </c>
      <c r="M121" s="533" t="str">
        <f t="shared" si="62"/>
        <v>4Q14</v>
      </c>
      <c r="N121" s="533" t="str">
        <f t="shared" si="62"/>
        <v>1Q15</v>
      </c>
      <c r="O121" s="533" t="str">
        <f t="shared" si="62"/>
        <v>2Q15</v>
      </c>
      <c r="P121" s="533" t="str">
        <f t="shared" si="62"/>
        <v>3Q15</v>
      </c>
      <c r="Q121" s="533" t="str">
        <f t="shared" si="62"/>
        <v>4Q15</v>
      </c>
      <c r="R121" s="533" t="str">
        <f t="shared" si="62"/>
        <v>1Q16</v>
      </c>
      <c r="S121" s="533" t="str">
        <f t="shared" si="62"/>
        <v>2Q16</v>
      </c>
      <c r="T121" s="533" t="str">
        <f t="shared" si="62"/>
        <v>3Q16</v>
      </c>
      <c r="U121" s="533" t="str">
        <f t="shared" si="62"/>
        <v>4Q16</v>
      </c>
      <c r="V121" s="533" t="str">
        <f t="shared" si="62"/>
        <v>1Q17</v>
      </c>
      <c r="W121" s="533" t="str">
        <f t="shared" si="62"/>
        <v>2Q17</v>
      </c>
      <c r="X121" s="533" t="str">
        <f t="shared" si="62"/>
        <v>3Q17</v>
      </c>
      <c r="Y121" s="533" t="str">
        <f t="shared" si="62"/>
        <v>4Q17</v>
      </c>
      <c r="Z121" s="533" t="str">
        <f t="shared" ref="Z121:AE121" si="63">Z103</f>
        <v>1Q18</v>
      </c>
      <c r="AA121" s="533" t="str">
        <f t="shared" si="63"/>
        <v>2Q18</v>
      </c>
      <c r="AB121" s="533" t="str">
        <f t="shared" si="63"/>
        <v>Q3 18</v>
      </c>
      <c r="AC121" s="533" t="str">
        <f t="shared" si="63"/>
        <v>Q4 18</v>
      </c>
      <c r="AD121" s="533" t="str">
        <f t="shared" si="63"/>
        <v>1Q19</v>
      </c>
      <c r="AE121" s="533" t="str">
        <f t="shared" si="63"/>
        <v>2Q19</v>
      </c>
      <c r="AF121" s="533" t="str">
        <f t="shared" ref="AF121" si="64">AF103</f>
        <v>3Q19</v>
      </c>
      <c r="AG121" s="533" t="str">
        <f t="shared" ref="AG121:AH121" si="65">AG103</f>
        <v>4Q19</v>
      </c>
      <c r="AH121" s="533" t="str">
        <f t="shared" si="65"/>
        <v>1Q20</v>
      </c>
      <c r="AI121" s="533" t="str">
        <f t="shared" ref="AI121" si="66">AI103</f>
        <v>2Q20</v>
      </c>
      <c r="AJ121" s="533" t="str">
        <f t="shared" ref="AJ121:AK121" si="67">AJ103</f>
        <v>3Q20</v>
      </c>
      <c r="AK121" s="533" t="str">
        <f t="shared" si="67"/>
        <v>4Q20</v>
      </c>
      <c r="AL121" s="533" t="str">
        <f t="shared" ref="AL121:AM121" si="68">AL103</f>
        <v>1Q21</v>
      </c>
      <c r="AM121" s="533" t="str">
        <f t="shared" si="68"/>
        <v>2Q21</v>
      </c>
      <c r="AN121" s="533" t="str">
        <f t="shared" ref="AN121" si="69">AN103</f>
        <v>3Q21</v>
      </c>
      <c r="AO121" s="533" t="str">
        <f t="shared" ref="AO121" si="70">AO103</f>
        <v>4Q21</v>
      </c>
      <c r="AP121" s="533" t="str">
        <f t="shared" ref="AP121:AQ121" si="71">AP103</f>
        <v>1Q22</v>
      </c>
      <c r="AQ121" s="533" t="str">
        <f t="shared" si="71"/>
        <v>2Q22</v>
      </c>
      <c r="AR121" s="533" t="str">
        <f t="shared" ref="AR121:AS121" si="72">AR103</f>
        <v>3Q22</v>
      </c>
      <c r="AS121" s="533" t="str">
        <f t="shared" si="72"/>
        <v>4Q22</v>
      </c>
      <c r="AT121" s="533" t="str">
        <f t="shared" ref="AT121:AU121" si="73">AT103</f>
        <v>1Q23</v>
      </c>
      <c r="AU121" s="533" t="str">
        <f t="shared" si="73"/>
        <v>2Q23</v>
      </c>
      <c r="AV121" s="533" t="str">
        <f t="shared" ref="AV121:AW121" si="74">AV103</f>
        <v>3Q23</v>
      </c>
      <c r="AW121" s="533" t="str">
        <f t="shared" si="74"/>
        <v>4Q23</v>
      </c>
      <c r="AX121" s="533" t="str">
        <f t="shared" ref="AX121:AY121" si="75">AX103</f>
        <v>1Q24</v>
      </c>
      <c r="AY121" s="533" t="str">
        <f t="shared" si="75"/>
        <v>2Q24</v>
      </c>
      <c r="AZ121" s="533" t="str">
        <f t="shared" ref="AZ121:BA121" si="76">AZ103</f>
        <v>3Q24</v>
      </c>
      <c r="BA121" s="533" t="str">
        <f t="shared" si="76"/>
        <v>4Q24</v>
      </c>
      <c r="BB121" s="533" t="str">
        <f t="shared" ref="BB121:BC121" si="77">BB103</f>
        <v>1Q25</v>
      </c>
      <c r="BC121" s="533" t="str">
        <f t="shared" si="77"/>
        <v>2Q25</v>
      </c>
      <c r="BD121" s="510"/>
      <c r="BE121" s="510"/>
    </row>
    <row r="122" spans="1:61">
      <c r="A122" s="2"/>
      <c r="B122" s="2"/>
      <c r="C122" s="2"/>
      <c r="D122" s="2"/>
      <c r="E122" s="321"/>
      <c r="F122" s="321"/>
      <c r="G122" s="321"/>
      <c r="H122" s="321"/>
      <c r="I122" s="321"/>
      <c r="J122" s="321"/>
      <c r="K122" s="321"/>
      <c r="L122" s="321"/>
      <c r="M122" s="321"/>
      <c r="N122" s="321"/>
      <c r="O122" s="321"/>
      <c r="P122" s="321"/>
      <c r="Q122" s="321"/>
      <c r="R122" s="321"/>
      <c r="S122" s="321"/>
      <c r="T122" s="321"/>
      <c r="U122" s="321"/>
      <c r="V122" s="321"/>
      <c r="W122" s="321"/>
      <c r="X122" s="321"/>
      <c r="Y122" s="321"/>
      <c r="Z122" s="321"/>
      <c r="AA122" s="321"/>
      <c r="AB122" s="321"/>
      <c r="AC122" s="321"/>
      <c r="AD122" s="321"/>
      <c r="AE122" s="322"/>
      <c r="AF122" s="322"/>
      <c r="AG122" s="322"/>
      <c r="AH122" s="322"/>
      <c r="AI122" s="322"/>
      <c r="AJ122" s="322"/>
      <c r="AK122" s="322"/>
      <c r="AL122" s="322"/>
      <c r="AM122" s="322"/>
      <c r="AN122" s="322"/>
      <c r="AO122" s="322"/>
      <c r="AP122" s="322"/>
      <c r="AQ122" s="322"/>
      <c r="AR122" s="322"/>
      <c r="AS122" s="322"/>
      <c r="AT122" s="322"/>
      <c r="AU122" s="322"/>
      <c r="AV122" s="322"/>
      <c r="AW122" s="322"/>
      <c r="AX122" s="322"/>
      <c r="AY122" s="322"/>
      <c r="AZ122" s="322"/>
      <c r="BA122" s="322"/>
      <c r="BB122" s="322"/>
      <c r="BC122" s="322"/>
      <c r="BD122" s="2"/>
      <c r="BE122" s="2"/>
    </row>
    <row r="123" spans="1:61">
      <c r="A123" s="2"/>
      <c r="B123" s="2" t="s">
        <v>402</v>
      </c>
      <c r="C123" s="2"/>
      <c r="D123" s="2"/>
      <c r="E123" s="422"/>
      <c r="F123" s="422">
        <f>F100/('Revenue, EBITDA, capex breakout'!F25*4)</f>
        <v>3.1126194421485347</v>
      </c>
      <c r="G123" s="422">
        <f>G100/('Revenue, EBITDA, capex breakout'!G25*4)</f>
        <v>2.8112303768886124</v>
      </c>
      <c r="H123" s="422">
        <f>H100/('Revenue, EBITDA, capex breakout'!H25*4)</f>
        <v>2.5987836864114877</v>
      </c>
      <c r="I123" s="422">
        <f>I100/('Revenue, EBITDA, capex breakout'!I25*4)</f>
        <v>2.5564849303769082</v>
      </c>
      <c r="J123" s="422">
        <f>J100/('Revenue, EBITDA, capex breakout'!J25*4)</f>
        <v>2.2429887112255349</v>
      </c>
      <c r="K123" s="422">
        <f>K100/('Revenue, EBITDA, capex breakout'!K25*4)</f>
        <v>2.2449160547708611</v>
      </c>
      <c r="L123" s="422">
        <f>L100/('Revenue, EBITDA, capex breakout'!L25*4)</f>
        <v>2.0295101540785283</v>
      </c>
      <c r="M123" s="422">
        <f>M100/('Revenue, EBITDA, capex breakout'!M25*4)</f>
        <v>2.0680732529377202</v>
      </c>
      <c r="N123" s="422">
        <f>N100/('Revenue, EBITDA, capex breakout'!N25*4)</f>
        <v>1.8586661806995068</v>
      </c>
      <c r="O123" s="422">
        <f>O100/('Revenue, EBITDA, capex breakout'!O25*4)</f>
        <v>2.0071167084225876</v>
      </c>
      <c r="P123" s="422">
        <f>P100/('Revenue, EBITDA, capex breakout'!P25*4)</f>
        <v>2.134714832451837</v>
      </c>
      <c r="Q123" s="422">
        <f>Q100/('Revenue, EBITDA, capex breakout'!Q25*4)</f>
        <v>2.0757017027917524</v>
      </c>
      <c r="R123" s="422">
        <f>R100/('Revenue, EBITDA, capex breakout'!R25*4)</f>
        <v>2.0617581381332455</v>
      </c>
      <c r="S123" s="422">
        <f>S100/('Revenue, EBITDA, capex breakout'!S25*4)</f>
        <v>2.1407881962313793</v>
      </c>
      <c r="T123" s="422">
        <f>T100/('Revenue, EBITDA, capex breakout'!T25*4)</f>
        <v>2.4821664829021883</v>
      </c>
      <c r="U123" s="422">
        <f>U100/('Revenue, EBITDA, capex breakout'!U25*4)</f>
        <v>2.4296315038506977</v>
      </c>
      <c r="V123" s="422">
        <f>V100/('Revenue, EBITDA, capex breakout'!V25*4)</f>
        <v>2.3183503826827203</v>
      </c>
      <c r="W123" s="422">
        <f>W100/('Revenue, EBITDA, capex breakout'!W25*4)</f>
        <v>2.3072418620564763</v>
      </c>
      <c r="X123" s="422">
        <f>X100/('Revenue, EBITDA, capex breakout'!X25*4)</f>
        <v>3.0155938700061764</v>
      </c>
      <c r="Y123" s="422">
        <f>Y100/('Revenue, EBITDA, capex breakout'!Y25*4)</f>
        <v>3.0356904965659672</v>
      </c>
      <c r="Z123" s="422">
        <f>Z100/('Revenue, EBITDA, capex breakout'!Z25*4)</f>
        <v>2.9840827352989292</v>
      </c>
      <c r="AA123" s="422">
        <f>AA100/('Revenue, EBITDA, capex breakout'!AA25*4)</f>
        <v>3.0245605157614603</v>
      </c>
      <c r="AB123" s="422">
        <f>AB100/('Revenue, EBITDA, capex breakout'!AB25*4)</f>
        <v>3.1814813748336328</v>
      </c>
      <c r="AC123" s="422">
        <f>AC100/('Revenue, EBITDA, capex breakout'!AC25*4)</f>
        <v>3.5578834099464407</v>
      </c>
      <c r="AD123" s="422">
        <f>AD100/('Revenue, EBITDA, capex breakout'!AD25*4)</f>
        <v>3.9459764242777911</v>
      </c>
      <c r="AE123" s="423">
        <f>AE100/('Revenue, EBITDA, capex breakout'!AE25*4)</f>
        <v>4.6677081712948585</v>
      </c>
      <c r="AF123" s="423">
        <f>AF100/('Revenue, EBITDA, capex breakout'!AF25*4)</f>
        <v>4.4117072768775945</v>
      </c>
      <c r="AG123" s="423">
        <f>AG100/('Revenue, EBITDA, capex breakout'!AG25*4)</f>
        <v>4.1501344783227774</v>
      </c>
      <c r="AH123" s="423">
        <f>AH100/('Revenue, EBITDA, capex breakout'!AH25*4)</f>
        <v>3.4337495853260722</v>
      </c>
      <c r="AI123" s="423">
        <f>AI100/('Revenue, EBITDA, capex breakout'!AI25*4)</f>
        <v>3.3041219520383156</v>
      </c>
      <c r="AJ123" s="423">
        <f>AJ100/('Revenue, EBITDA, capex breakout'!AJ25*4)</f>
        <v>3.0726766248030892</v>
      </c>
      <c r="AK123" s="423">
        <f>AK100/('Revenue, EBITDA, capex breakout'!AK25*4)</f>
        <v>3.0441697742080893</v>
      </c>
      <c r="AL123" s="423">
        <f>AL100/('Revenue, EBITDA, capex breakout'!AL25*4)</f>
        <v>2.8793757591125915</v>
      </c>
      <c r="AM123" s="423">
        <f>AM100/('Revenue, EBITDA, capex breakout'!AM25*4)</f>
        <v>3.0606118004008436</v>
      </c>
      <c r="AN123" s="423">
        <f>AN100/('Revenue, EBITDA, capex breakout'!AN25*4)</f>
        <v>3.0268036135653884</v>
      </c>
      <c r="AO123" s="423">
        <f>AO100/('Revenue, EBITDA, capex breakout'!AO25*4)</f>
        <v>2.9505368311465379</v>
      </c>
      <c r="AP123" s="423">
        <f>AP100/('Revenue, EBITDA, capex breakout'!AP25*4)</f>
        <v>3.0255754621135154</v>
      </c>
      <c r="AQ123" s="423">
        <f>AQ100/('Revenue, EBITDA, capex breakout'!AQ25*4)</f>
        <v>2.9648105609336768</v>
      </c>
      <c r="AR123" s="423">
        <f>AR100/('Revenue, EBITDA, capex breakout'!AR25*4)</f>
        <v>2.6693260822480354</v>
      </c>
      <c r="AS123" s="423">
        <f>AS100/('Revenue, EBITDA, capex breakout'!AS25*4)</f>
        <v>2.5050520677067705</v>
      </c>
      <c r="AT123" s="423">
        <f>AT100/('Revenue, EBITDA, capex breakout'!AT25*4)</f>
        <v>2.5192033492680403</v>
      </c>
      <c r="AU123" s="423">
        <f>AU100/('Revenue, EBITDA, capex breakout'!AU25*4)</f>
        <v>2.9575014671692661</v>
      </c>
      <c r="AV123" s="423">
        <f>AV100/('Revenue, EBITDA, capex breakout'!AV25*4)</f>
        <v>2.8188529175983668</v>
      </c>
      <c r="AW123" s="423">
        <f>AW100/('Revenue, EBITDA, capex breakout'!AW25*4)</f>
        <v>2.8331179845480601</v>
      </c>
      <c r="AX123" s="423">
        <f>AX100/('Revenue, EBITDA, capex breakout'!AX25*4)</f>
        <v>2.6300003545003823</v>
      </c>
      <c r="AY123" s="423">
        <f>AY100/('Revenue, EBITDA, capex breakout'!AY25*4)</f>
        <v>2.6317856233223051</v>
      </c>
      <c r="AZ123" s="423">
        <f>AZ100/('Revenue, EBITDA, capex breakout'!AZ25*4)</f>
        <v>2.5202995855853447</v>
      </c>
      <c r="BA123" s="423">
        <f>BA100/('Revenue, EBITDA, capex breakout'!BA25*4)</f>
        <v>2.6115481724174754</v>
      </c>
      <c r="BB123" s="423">
        <f>BB100/('Revenue, EBITDA, capex breakout'!BB25*4)</f>
        <v>2.5393385044273522</v>
      </c>
      <c r="BC123" s="423">
        <f>BC100/('Revenue, EBITDA, capex breakout'!BC25*4)</f>
        <v>2.5003360443941891</v>
      </c>
      <c r="BD123" s="2"/>
      <c r="BE123" s="2"/>
      <c r="BI123" s="35"/>
    </row>
    <row r="124" spans="1:61">
      <c r="A124" s="2"/>
      <c r="B124" s="2" t="s">
        <v>403</v>
      </c>
      <c r="C124" s="2"/>
      <c r="D124" s="2"/>
      <c r="E124" s="422"/>
      <c r="F124" s="422"/>
      <c r="G124" s="422"/>
      <c r="H124" s="422"/>
      <c r="I124" s="422"/>
      <c r="J124" s="422">
        <f>J100/SUM('Revenue, EBITDA, capex breakout'!G25:J25)</f>
        <v>2.3574406937523591</v>
      </c>
      <c r="K124" s="422">
        <f>K100/SUM('Revenue, EBITDA, capex breakout'!H25:K25)</f>
        <v>2.3775553953758748</v>
      </c>
      <c r="L124" s="422">
        <f>L100/SUM('Revenue, EBITDA, capex breakout'!I25:L25)</f>
        <v>2.1572560094384459</v>
      </c>
      <c r="M124" s="422">
        <f>M100/SUM('Revenue, EBITDA, capex breakout'!J25:M25)</f>
        <v>2.1780532459760686</v>
      </c>
      <c r="N124" s="422">
        <f>N100/SUM('Revenue, EBITDA, capex breakout'!K25:N25)</f>
        <v>1.9899338151746144</v>
      </c>
      <c r="O124" s="422">
        <f>O100/SUM('Revenue, EBITDA, capex breakout'!L25:O25)</f>
        <v>2.0783284355029981</v>
      </c>
      <c r="P124" s="422">
        <f>P100/SUM('Revenue, EBITDA, capex breakout'!M25:P25)</f>
        <v>2.179821452588667</v>
      </c>
      <c r="Q124" s="422">
        <f>Q100/SUM('Revenue, EBITDA, capex breakout'!N25:Q25)</f>
        <v>2.1290977446073187</v>
      </c>
      <c r="R124" s="422">
        <f>R100/SUM('Revenue, EBITDA, capex breakout'!O25:R25)</f>
        <v>2.1366013835173581</v>
      </c>
      <c r="S124" s="422">
        <f>S100/SUM('Revenue, EBITDA, capex breakout'!P25:S25)</f>
        <v>2.1841323345166308</v>
      </c>
      <c r="T124" s="422">
        <f>T100/SUM('Revenue, EBITDA, capex breakout'!Q25:T25)</f>
        <v>2.545767103566102</v>
      </c>
      <c r="U124" s="422">
        <f>U100/SUM('Revenue, EBITDA, capex breakout'!R25:U25)</f>
        <v>2.6117923978194626</v>
      </c>
      <c r="V124" s="422">
        <f>V100/SUM('Revenue, EBITDA, capex breakout'!S25:V25)</f>
        <v>2.5040674807205869</v>
      </c>
      <c r="W124" s="422">
        <f>W100/SUM('Revenue, EBITDA, capex breakout'!T25:W25)</f>
        <v>2.3791281663583774</v>
      </c>
      <c r="X124" s="422">
        <f>X100/SUM('Revenue, EBITDA, capex breakout'!U25:X25)</f>
        <v>2.8080037442974257</v>
      </c>
      <c r="Y124" s="422">
        <f>Y100/SUM('Revenue, EBITDA, capex breakout'!V25:Y25)</f>
        <v>2.7246627814032771</v>
      </c>
      <c r="Z124" s="422">
        <f>Z100/SUM('Revenue, EBITDA, capex breakout'!W25:Z25)</f>
        <v>2.7584029169419249</v>
      </c>
      <c r="AA124" s="422">
        <f>AA100/SUM('Revenue, EBITDA, capex breakout'!X25:AA25)</f>
        <v>2.9895153148647271</v>
      </c>
      <c r="AB124" s="422">
        <f>AB100/SUM('Revenue, EBITDA, capex breakout'!Y25:AB25)</f>
        <v>3.0742761689703477</v>
      </c>
      <c r="AC124" s="422">
        <f>AC100/SUM('Revenue, EBITDA, capex breakout'!Z25:AC25)</f>
        <v>3.2877703223731287</v>
      </c>
      <c r="AD124" s="422">
        <f>AD100/SUM('Revenue, EBITDA, capex breakout'!AA25:AD25)</f>
        <v>3.6628514539506627</v>
      </c>
      <c r="AE124" s="423">
        <f>AE100/SUM('Revenue, EBITDA, capex breakout'!AB25:AE25)</f>
        <v>4.2600108976817337</v>
      </c>
      <c r="AF124" s="423">
        <f>AF100/SUM('Revenue, EBITDA, capex breakout'!AC25:AF25)</f>
        <v>4.1965056953526858</v>
      </c>
      <c r="AG124" s="423">
        <f>AG100/SUM('Revenue, EBITDA, capex breakout'!AD25:AG25)</f>
        <v>4.297239680113206</v>
      </c>
      <c r="AH124" s="423">
        <f>AH100/SUM('Revenue, EBITDA, capex breakout'!AE25:AH25)</f>
        <v>4.1734950164355622</v>
      </c>
      <c r="AI124" s="423">
        <f>AI100/SUM('Revenue, EBITDA, capex breakout'!AF25:AI25)</f>
        <v>3.8669938642272004</v>
      </c>
      <c r="AJ124" s="423">
        <f>AJ100/SUM('Revenue, EBITDA, capex breakout'!AG25:AJ25)</f>
        <v>3.4217043625771426</v>
      </c>
      <c r="AK124" s="423">
        <f>AK100/SUM('Revenue, EBITDA, capex breakout'!AH25:AK25)</f>
        <v>3.2528286440746448</v>
      </c>
      <c r="AL124" s="423">
        <f>AL100/SUM('Revenue, EBITDA, capex breakout'!AI25:AL25)</f>
        <v>3.0535039606975873</v>
      </c>
      <c r="AM124" s="423">
        <f>AM100/SUM('Revenue, EBITDA, capex breakout'!AJ25:AM25)</f>
        <v>3.4044083830437093</v>
      </c>
      <c r="AN124" s="423">
        <f>AN100/SUM('Revenue, EBITDA, capex breakout'!AK25:AN25)</f>
        <v>3.403719731181619</v>
      </c>
      <c r="AO124" s="423">
        <f>AO100/SUM('Revenue, EBITDA, capex breakout'!AL25:AO25)</f>
        <v>3.2187209435896547</v>
      </c>
      <c r="AP124" s="423">
        <f>AP100/SUM('Revenue, EBITDA, capex breakout'!AM25:AP25)</f>
        <v>3.2437223997367948</v>
      </c>
      <c r="AQ124" s="423">
        <f>AQ100/SUM('Revenue, EBITDA, capex breakout'!AN25:AQ25)</f>
        <v>3.1988831856850823</v>
      </c>
      <c r="AR124" s="423">
        <f>AR100/SUM('Revenue, EBITDA, capex breakout'!AO25:AR25)</f>
        <v>2.9096317541915089</v>
      </c>
      <c r="AS124" s="423">
        <f>AS100/SUM('Revenue, EBITDA, capex breakout'!AP25:AS25)</f>
        <v>2.7586774783084551</v>
      </c>
      <c r="AT124" s="423">
        <f>AT100/SUM('Revenue, EBITDA, capex breakout'!AQ25:AT25)</f>
        <v>2.719527671704681</v>
      </c>
      <c r="AU124" s="423">
        <f>AU100/SUM('Revenue, EBITDA, capex breakout'!AR25:AU25)</f>
        <v>3.213951542517421</v>
      </c>
      <c r="AV124" s="423">
        <f>AV100/SUM('Revenue, EBITDA, capex breakout'!AS25:AV25)</f>
        <v>3.0428994761884693</v>
      </c>
      <c r="AW124" s="423">
        <f>AW100/SUM('Revenue, EBITDA, capex breakout'!AT25:AW25)</f>
        <v>2.9711044770784678</v>
      </c>
      <c r="AX124" s="423">
        <f>AX100/SUM('Revenue, EBITDA, capex breakout'!AU25:AX25)</f>
        <v>2.7743532145781198</v>
      </c>
      <c r="AY124" s="423">
        <f>AY100/SUM('Revenue, EBITDA, capex breakout'!AV25:AY25)</f>
        <v>2.6948688862146466</v>
      </c>
      <c r="AZ124" s="423">
        <f>AZ100/SUM('Revenue, EBITDA, capex breakout'!AW25:AZ25)</f>
        <v>2.5819701404525883</v>
      </c>
      <c r="BA124" s="423">
        <f>BA100/SUM('Revenue, EBITDA, capex breakout'!AX25:BA25)</f>
        <v>2.5889554711176812</v>
      </c>
      <c r="BB124" s="423">
        <f>BB100/SUM('Revenue, EBITDA, capex breakout'!AY25:BB25)</f>
        <v>2.5564145243628102</v>
      </c>
      <c r="BC124" s="423">
        <f>BC100/SUM('Revenue, EBITDA, capex breakout'!AZ25:BC25)</f>
        <v>2.6990070726026993</v>
      </c>
      <c r="BD124" s="2"/>
      <c r="BI124" s="35"/>
    </row>
    <row r="125" spans="1:61">
      <c r="A125" s="2"/>
      <c r="B125" s="2"/>
      <c r="C125" s="2"/>
      <c r="D125" s="2"/>
      <c r="E125" s="424"/>
      <c r="F125" s="424"/>
      <c r="G125" s="424"/>
      <c r="H125" s="424"/>
      <c r="I125" s="424"/>
      <c r="J125" s="424"/>
      <c r="K125" s="424"/>
      <c r="L125" s="424"/>
      <c r="M125" s="424"/>
      <c r="N125" s="424"/>
      <c r="O125" s="424"/>
      <c r="P125" s="424"/>
      <c r="Q125" s="424"/>
      <c r="R125" s="424"/>
      <c r="S125" s="424"/>
      <c r="T125" s="424"/>
      <c r="U125" s="424"/>
      <c r="V125" s="424"/>
      <c r="W125" s="424"/>
      <c r="X125" s="424"/>
      <c r="Y125" s="424"/>
      <c r="Z125" s="424"/>
      <c r="AA125" s="424"/>
      <c r="AB125" s="424"/>
      <c r="AC125" s="424"/>
      <c r="AD125" s="424"/>
      <c r="AE125" s="425"/>
      <c r="AF125" s="425"/>
      <c r="AG125" s="425"/>
      <c r="AH125" s="425"/>
      <c r="AI125" s="425"/>
      <c r="AJ125" s="425"/>
      <c r="AK125" s="425"/>
      <c r="AL125" s="425"/>
      <c r="AM125" s="425"/>
      <c r="AN125" s="425"/>
      <c r="AO125" s="425"/>
      <c r="AP125" s="425"/>
      <c r="AQ125" s="425"/>
      <c r="AR125" s="425"/>
      <c r="AS125" s="425"/>
      <c r="AT125" s="425"/>
      <c r="AU125" s="425"/>
      <c r="AV125" s="425"/>
      <c r="AW125" s="425"/>
      <c r="AX125" s="425"/>
      <c r="AY125" s="425"/>
      <c r="AZ125" s="425"/>
      <c r="BA125" s="425"/>
      <c r="BB125" s="425"/>
      <c r="BC125" s="425"/>
      <c r="BD125" s="2"/>
      <c r="BE125" s="2"/>
      <c r="BI125" s="35"/>
    </row>
    <row r="126" spans="1:61">
      <c r="A126" s="2"/>
      <c r="B126" s="2" t="s">
        <v>404</v>
      </c>
      <c r="C126" s="2"/>
      <c r="D126" s="2"/>
      <c r="E126" s="422"/>
      <c r="F126" s="422"/>
      <c r="G126" s="422"/>
      <c r="H126" s="422"/>
      <c r="I126" s="401">
        <f t="shared" ref="I126:BC126" si="78">I16/E16-1</f>
        <v>3.5254948735641722E-2</v>
      </c>
      <c r="J126" s="401">
        <f t="shared" si="78"/>
        <v>0.10967289855671836</v>
      </c>
      <c r="K126" s="401">
        <f t="shared" si="78"/>
        <v>5.6570326903268464E-2</v>
      </c>
      <c r="L126" s="401">
        <f t="shared" si="78"/>
        <v>0.1478625311790116</v>
      </c>
      <c r="M126" s="401">
        <f t="shared" si="78"/>
        <v>9.7367668853942213E-2</v>
      </c>
      <c r="N126" s="401">
        <f t="shared" si="78"/>
        <v>0.15663612431876461</v>
      </c>
      <c r="O126" s="401">
        <f t="shared" si="78"/>
        <v>0.10079503604702822</v>
      </c>
      <c r="P126" s="401">
        <f t="shared" si="78"/>
        <v>7.9786445455691135E-2</v>
      </c>
      <c r="Q126" s="401">
        <f t="shared" si="78"/>
        <v>0.11010043699062666</v>
      </c>
      <c r="R126" s="401">
        <f t="shared" si="78"/>
        <v>5.8862136537320753E-2</v>
      </c>
      <c r="S126" s="401">
        <f t="shared" si="78"/>
        <v>6.3978371253178956E-2</v>
      </c>
      <c r="T126" s="401">
        <f t="shared" si="78"/>
        <v>6.76916646582717E-2</v>
      </c>
      <c r="U126" s="401">
        <f t="shared" si="78"/>
        <v>0.13230668165797077</v>
      </c>
      <c r="V126" s="401">
        <f t="shared" si="78"/>
        <v>0.18907826427052887</v>
      </c>
      <c r="W126" s="401">
        <f t="shared" si="78"/>
        <v>0.17785268920768482</v>
      </c>
      <c r="X126" s="401">
        <f t="shared" si="78"/>
        <v>-1.1958401324922652E-2</v>
      </c>
      <c r="Y126" s="401">
        <f t="shared" si="78"/>
        <v>-0.18692402097511995</v>
      </c>
      <c r="Z126" s="401">
        <f t="shared" si="78"/>
        <v>-0.17246286672078093</v>
      </c>
      <c r="AA126" s="401">
        <f t="shared" si="78"/>
        <v>-0.14960943384045966</v>
      </c>
      <c r="AB126" s="401">
        <f t="shared" si="78"/>
        <v>-9.6775783869059384E-2</v>
      </c>
      <c r="AC126" s="401">
        <f t="shared" si="78"/>
        <v>7.8489488995006074E-3</v>
      </c>
      <c r="AD126" s="401">
        <f t="shared" si="78"/>
        <v>-9.2482898307027939E-2</v>
      </c>
      <c r="AE126" s="356">
        <f t="shared" si="78"/>
        <v>-0.16341713374748534</v>
      </c>
      <c r="AF126" s="356">
        <f t="shared" si="78"/>
        <v>-0.16717155177119158</v>
      </c>
      <c r="AG126" s="356">
        <f t="shared" si="78"/>
        <v>-5.5290817993682628E-2</v>
      </c>
      <c r="AH126" s="356">
        <f t="shared" si="78"/>
        <v>0.22503895228871018</v>
      </c>
      <c r="AI126" s="356">
        <f t="shared" si="78"/>
        <v>0.33898458885981753</v>
      </c>
      <c r="AJ126" s="356">
        <f t="shared" si="78"/>
        <v>0.53054904723674068</v>
      </c>
      <c r="AK126" s="356">
        <f t="shared" si="78"/>
        <v>0.45873146266591736</v>
      </c>
      <c r="AL126" s="356">
        <f t="shared" si="78"/>
        <v>0.2236315928179391</v>
      </c>
      <c r="AM126" s="356">
        <f t="shared" si="78"/>
        <v>0.33799062517648393</v>
      </c>
      <c r="AN126" s="356">
        <f t="shared" si="78"/>
        <v>0.33587042627443431</v>
      </c>
      <c r="AO126" s="356">
        <f t="shared" si="78"/>
        <v>0.22418170860626185</v>
      </c>
      <c r="AP126" s="356">
        <f t="shared" si="78"/>
        <v>0.24630583387957672</v>
      </c>
      <c r="AQ126" s="356">
        <f t="shared" si="78"/>
        <v>0.18319418532994547</v>
      </c>
      <c r="AR126" s="356">
        <f t="shared" si="78"/>
        <v>0.19004880237841482</v>
      </c>
      <c r="AS126" s="356">
        <f t="shared" si="78"/>
        <v>0.3286712722342382</v>
      </c>
      <c r="AT126" s="356">
        <f t="shared" si="78"/>
        <v>0.26392071709255926</v>
      </c>
      <c r="AU126" s="356">
        <f t="shared" si="78"/>
        <v>0.27539954337899553</v>
      </c>
      <c r="AV126" s="356">
        <f t="shared" si="78"/>
        <v>0.26121342715733475</v>
      </c>
      <c r="AW126" s="356">
        <f t="shared" si="78"/>
        <v>0.14196424775105831</v>
      </c>
      <c r="AX126" s="356">
        <f t="shared" si="78"/>
        <v>0.19479369155683957</v>
      </c>
      <c r="AY126" s="356">
        <f t="shared" si="78"/>
        <v>0.10327254419333176</v>
      </c>
      <c r="AZ126" s="356">
        <f t="shared" si="78"/>
        <v>7.2569840689828302E-2</v>
      </c>
      <c r="BA126" s="356">
        <f t="shared" si="78"/>
        <v>3.4832710251428534E-2</v>
      </c>
      <c r="BB126" s="356">
        <f t="shared" si="78"/>
        <v>9.1020812291342512E-3</v>
      </c>
      <c r="BC126" s="356">
        <f t="shared" si="78"/>
        <v>0.12465204009714981</v>
      </c>
      <c r="BD126" s="2"/>
      <c r="BE126" s="2"/>
      <c r="BI126" s="35"/>
    </row>
    <row r="127" spans="1:61">
      <c r="A127" s="2"/>
      <c r="B127" s="2" t="s">
        <v>405</v>
      </c>
      <c r="C127" s="2"/>
      <c r="D127" s="2"/>
      <c r="E127" s="424"/>
      <c r="F127" s="424"/>
      <c r="G127" s="424"/>
      <c r="H127" s="424"/>
      <c r="I127" s="401">
        <f t="shared" ref="I127:BC127" si="79">I50/E50-1</f>
        <v>0.35070413081590002</v>
      </c>
      <c r="J127" s="401">
        <f t="shared" si="79"/>
        <v>0.89463803247167939</v>
      </c>
      <c r="K127" s="401">
        <f t="shared" si="79"/>
        <v>2.1771225300937727</v>
      </c>
      <c r="L127" s="401">
        <f t="shared" si="79"/>
        <v>-0.4356616005554006</v>
      </c>
      <c r="M127" s="401">
        <f t="shared" si="79"/>
        <v>0.54641047113068075</v>
      </c>
      <c r="N127" s="401">
        <f t="shared" si="79"/>
        <v>-0.49231629504628194</v>
      </c>
      <c r="O127" s="401">
        <f t="shared" si="79"/>
        <v>-0.36083140492421872</v>
      </c>
      <c r="P127" s="401">
        <f t="shared" si="79"/>
        <v>-0.32997419695645991</v>
      </c>
      <c r="Q127" s="401">
        <f t="shared" si="79"/>
        <v>1.0229198473282444</v>
      </c>
      <c r="R127" s="401">
        <f t="shared" si="79"/>
        <v>0.89896347579804492</v>
      </c>
      <c r="S127" s="401">
        <f t="shared" si="79"/>
        <v>-1.0682996836165564</v>
      </c>
      <c r="T127" s="401">
        <f t="shared" si="79"/>
        <v>-0.96042816423069921</v>
      </c>
      <c r="U127" s="401">
        <f t="shared" si="79"/>
        <v>-0.548277846435411</v>
      </c>
      <c r="V127" s="401">
        <f t="shared" si="79"/>
        <v>-2.4857844203461932E-3</v>
      </c>
      <c r="W127" s="401">
        <f t="shared" si="79"/>
        <v>-12.521012416427888</v>
      </c>
      <c r="X127" s="401">
        <f t="shared" si="79"/>
        <v>118.85593869731801</v>
      </c>
      <c r="Y127" s="401">
        <f t="shared" si="79"/>
        <v>-0.19161288975210411</v>
      </c>
      <c r="Z127" s="401">
        <f t="shared" si="79"/>
        <v>-0.53988723795283922</v>
      </c>
      <c r="AA127" s="401">
        <f t="shared" si="79"/>
        <v>1.754777202072539</v>
      </c>
      <c r="AB127" s="401">
        <f t="shared" si="79"/>
        <v>-0.38564815998772473</v>
      </c>
      <c r="AC127" s="401">
        <f t="shared" si="79"/>
        <v>0</v>
      </c>
      <c r="AD127" s="401">
        <f t="shared" si="79"/>
        <v>0.46726694198090857</v>
      </c>
      <c r="AE127" s="356">
        <f t="shared" si="79"/>
        <v>0.26628447614318596</v>
      </c>
      <c r="AF127" s="356">
        <f t="shared" si="79"/>
        <v>-0.32136910460808388</v>
      </c>
      <c r="AG127" s="356">
        <f t="shared" si="79"/>
        <v>0.82615996693190041</v>
      </c>
      <c r="AH127" s="356">
        <f t="shared" si="79"/>
        <v>7.5839370030298836E-2</v>
      </c>
      <c r="AI127" s="356">
        <f t="shared" si="79"/>
        <v>-0.48357811683064789</v>
      </c>
      <c r="AJ127" s="356">
        <f t="shared" si="79"/>
        <v>1.9127754519942957</v>
      </c>
      <c r="AK127" s="356">
        <f t="shared" si="79"/>
        <v>-0.97363022903787122</v>
      </c>
      <c r="AL127" s="356">
        <f t="shared" si="79"/>
        <v>-0.29592566118656183</v>
      </c>
      <c r="AM127" s="356">
        <f t="shared" si="79"/>
        <v>-0.85858260469397152</v>
      </c>
      <c r="AN127" s="356">
        <f t="shared" si="79"/>
        <v>-0.82827134170417749</v>
      </c>
      <c r="AO127" s="356">
        <f t="shared" si="79"/>
        <v>96.032188841201716</v>
      </c>
      <c r="AP127" s="356">
        <f t="shared" si="79"/>
        <v>-0.59334010152284267</v>
      </c>
      <c r="AQ127" s="356">
        <f t="shared" si="79"/>
        <v>22.034493979824276</v>
      </c>
      <c r="AR127" s="356">
        <f t="shared" si="79"/>
        <v>3.1963579508875197</v>
      </c>
      <c r="AS127" s="356">
        <f t="shared" si="79"/>
        <v>-0.33534953667868284</v>
      </c>
      <c r="AT127" s="356">
        <f t="shared" si="79"/>
        <v>1.8366786498901537</v>
      </c>
      <c r="AU127" s="356">
        <f t="shared" si="79"/>
        <v>-9.7979797979797945E-2</v>
      </c>
      <c r="AV127" s="356">
        <f t="shared" si="79"/>
        <v>1.4501647416369057E-2</v>
      </c>
      <c r="AW127" s="356">
        <f t="shared" si="79"/>
        <v>-0.43913354517776637</v>
      </c>
      <c r="AX127" s="356">
        <f t="shared" si="79"/>
        <v>1.7877598436977453</v>
      </c>
      <c r="AY127" s="356">
        <f t="shared" si="79"/>
        <v>-0.33131034698783857</v>
      </c>
      <c r="AZ127" s="356">
        <f t="shared" si="79"/>
        <v>9.4307899294344022E-2</v>
      </c>
      <c r="BA127" s="356">
        <f t="shared" si="79"/>
        <v>0.57666081630850474</v>
      </c>
      <c r="BB127" s="356">
        <f t="shared" si="79"/>
        <v>-6.5493967079384485E-2</v>
      </c>
      <c r="BC127" s="356">
        <f t="shared" si="79"/>
        <v>0.68944033914581171</v>
      </c>
      <c r="BD127" s="2"/>
      <c r="BE127" s="2"/>
      <c r="BI127" s="35"/>
    </row>
    <row r="128" spans="1:61">
      <c r="A128" s="2"/>
      <c r="B128" s="2"/>
      <c r="C128" s="2"/>
      <c r="D128" s="2"/>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c r="AA128" s="321"/>
      <c r="AB128" s="321"/>
      <c r="AC128" s="321"/>
      <c r="AD128" s="321"/>
      <c r="AE128" s="322"/>
      <c r="AF128" s="322"/>
      <c r="AG128" s="322"/>
      <c r="AH128" s="322"/>
      <c r="AI128" s="322"/>
      <c r="AJ128" s="322"/>
      <c r="AK128" s="322"/>
      <c r="AL128" s="322"/>
      <c r="AM128" s="322"/>
      <c r="AN128" s="322"/>
      <c r="AO128" s="322"/>
      <c r="AP128" s="322"/>
      <c r="AQ128" s="322"/>
      <c r="AR128" s="322"/>
      <c r="AS128" s="322"/>
      <c r="AT128" s="322"/>
      <c r="AU128" s="322"/>
      <c r="AV128" s="322"/>
      <c r="AW128" s="322"/>
      <c r="AX128" s="322"/>
      <c r="AY128" s="322"/>
      <c r="AZ128" s="322"/>
      <c r="BA128" s="322"/>
      <c r="BB128" s="322"/>
      <c r="BC128" s="322"/>
      <c r="BD128" s="2"/>
      <c r="BE128" s="2"/>
      <c r="BI128" s="73"/>
    </row>
    <row r="129" spans="1:57">
      <c r="A129" s="2"/>
      <c r="B129" s="2" t="s">
        <v>406</v>
      </c>
      <c r="C129" s="2"/>
      <c r="D129" s="2"/>
      <c r="E129" s="401"/>
      <c r="F129" s="401"/>
      <c r="G129" s="401"/>
      <c r="H129" s="426"/>
      <c r="I129" s="426"/>
      <c r="J129" s="426"/>
      <c r="K129" s="401">
        <f>K64/G64-1</f>
        <v>6.0284652343396417E-3</v>
      </c>
      <c r="L129" s="426"/>
      <c r="M129" s="426"/>
      <c r="N129" s="426"/>
      <c r="O129" s="401">
        <f>O64/K64-1</f>
        <v>3.8053615679207029</v>
      </c>
      <c r="P129" s="426"/>
      <c r="Q129" s="426"/>
      <c r="R129" s="426"/>
      <c r="S129" s="401">
        <f>S64/O64-1</f>
        <v>-0.28254652852655759</v>
      </c>
      <c r="T129" s="426"/>
      <c r="U129" s="426"/>
      <c r="V129" s="426"/>
      <c r="W129" s="401">
        <f>W64/S64-1</f>
        <v>-0.40244380554103498</v>
      </c>
      <c r="X129" s="426"/>
      <c r="Y129" s="426"/>
      <c r="Z129" s="426"/>
      <c r="AA129" s="426"/>
      <c r="AB129" s="426"/>
      <c r="AC129" s="426"/>
      <c r="AD129" s="426"/>
      <c r="AE129" s="427"/>
      <c r="AF129" s="427"/>
      <c r="AG129" s="427"/>
      <c r="AH129" s="427"/>
      <c r="AI129" s="427"/>
      <c r="AJ129" s="427"/>
      <c r="AK129" s="427"/>
      <c r="AL129" s="427"/>
      <c r="AM129" s="427"/>
      <c r="AN129" s="427"/>
      <c r="AO129" s="427"/>
      <c r="AP129" s="427"/>
      <c r="AQ129" s="427"/>
      <c r="AR129" s="427"/>
      <c r="AS129" s="427"/>
      <c r="AT129" s="427"/>
      <c r="AU129" s="427"/>
      <c r="AV129" s="427"/>
      <c r="AW129" s="427"/>
      <c r="AX129" s="427"/>
      <c r="AY129" s="427"/>
      <c r="AZ129" s="427"/>
      <c r="BA129" s="427"/>
      <c r="BB129" s="427"/>
      <c r="BC129" s="427"/>
      <c r="BD129" s="2"/>
      <c r="BE129" s="2"/>
    </row>
    <row r="130" spans="1:57">
      <c r="A130" s="2"/>
      <c r="B130" s="2"/>
      <c r="C130" s="2"/>
      <c r="D130" s="2"/>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c r="AA130" s="321"/>
      <c r="AB130" s="321"/>
      <c r="AC130" s="321"/>
      <c r="AD130" s="321"/>
      <c r="AE130" s="322"/>
      <c r="AF130" s="322"/>
      <c r="AG130" s="322"/>
      <c r="AH130" s="322"/>
      <c r="AI130" s="322"/>
      <c r="AJ130" s="322"/>
      <c r="AK130" s="322"/>
      <c r="AL130" s="322"/>
      <c r="AM130" s="322"/>
      <c r="AN130" s="322"/>
      <c r="AO130" s="322"/>
      <c r="AP130" s="322"/>
      <c r="AQ130" s="322"/>
      <c r="AR130" s="322"/>
      <c r="AS130" s="322"/>
      <c r="AT130" s="322"/>
      <c r="AU130" s="322"/>
      <c r="AV130" s="322"/>
      <c r="AW130" s="322"/>
      <c r="AX130" s="322"/>
      <c r="AY130" s="322"/>
      <c r="AZ130" s="322"/>
      <c r="BA130" s="322"/>
      <c r="BB130" s="322"/>
      <c r="BC130" s="322"/>
      <c r="BD130" s="2"/>
      <c r="BE130" s="2"/>
    </row>
    <row r="131" spans="1:57">
      <c r="A131" s="2"/>
      <c r="B131" s="2" t="s">
        <v>407</v>
      </c>
      <c r="C131" s="2"/>
      <c r="D131" s="2"/>
      <c r="E131" s="416"/>
      <c r="F131" s="416"/>
      <c r="G131" s="416"/>
      <c r="H131" s="416"/>
      <c r="I131" s="401">
        <f t="shared" ref="I131:W131" si="80">I100/E100-1</f>
        <v>-1.844895755697662E-2</v>
      </c>
      <c r="J131" s="401">
        <f t="shared" si="80"/>
        <v>-0.14023464500257488</v>
      </c>
      <c r="K131" s="401">
        <f t="shared" si="80"/>
        <v>-8.1036738370022454E-2</v>
      </c>
      <c r="L131" s="401">
        <f t="shared" si="80"/>
        <v>-0.10328654399408776</v>
      </c>
      <c r="M131" s="401">
        <f t="shared" si="80"/>
        <v>-5.1659465778320812E-2</v>
      </c>
      <c r="N131" s="401">
        <f t="shared" si="80"/>
        <v>-1.6625353038762891E-2</v>
      </c>
      <c r="O131" s="401">
        <f t="shared" si="80"/>
        <v>1.4113080344321682E-2</v>
      </c>
      <c r="P131" s="401">
        <f t="shared" si="80"/>
        <v>0.15953060386546047</v>
      </c>
      <c r="Q131" s="401">
        <f t="shared" si="80"/>
        <v>0.10406302805257295</v>
      </c>
      <c r="R131" s="401">
        <f t="shared" si="80"/>
        <v>0.17993484837818907</v>
      </c>
      <c r="S131" s="401">
        <f t="shared" si="80"/>
        <v>0.13760533033432942</v>
      </c>
      <c r="T131" s="401">
        <f t="shared" si="80"/>
        <v>0.25890185258656118</v>
      </c>
      <c r="U131" s="401">
        <f t="shared" si="80"/>
        <v>0.33595708478722575</v>
      </c>
      <c r="V131" s="401">
        <f t="shared" si="80"/>
        <v>0.30541743995732951</v>
      </c>
      <c r="W131" s="401">
        <f t="shared" si="80"/>
        <v>0.23434475444060054</v>
      </c>
      <c r="X131" s="401">
        <f t="shared" ref="X131:AC131" si="81">X100/T100-1</f>
        <v>0.22862301435067689</v>
      </c>
      <c r="Y131" s="401">
        <f t="shared" si="81"/>
        <v>8.686632666017946E-2</v>
      </c>
      <c r="Z131" s="401">
        <f t="shared" si="81"/>
        <v>4.9864360451999046E-2</v>
      </c>
      <c r="AA131" s="401">
        <f t="shared" si="81"/>
        <v>0.10836877247453125</v>
      </c>
      <c r="AB131" s="401">
        <f t="shared" si="81"/>
        <v>-6.6044503694460688E-2</v>
      </c>
      <c r="AC131" s="401">
        <f t="shared" si="81"/>
        <v>3.1439629175666228E-2</v>
      </c>
      <c r="AD131" s="401">
        <f t="shared" ref="AD131:AN131" si="82">AD100/Z100-1</f>
        <v>0.15566064587521833</v>
      </c>
      <c r="AE131" s="356">
        <f t="shared" si="82"/>
        <v>0.2231109862047751</v>
      </c>
      <c r="AF131" s="356">
        <f t="shared" si="82"/>
        <v>0.15270304487579467</v>
      </c>
      <c r="AG131" s="356">
        <f t="shared" si="82"/>
        <v>0.12870224078992965</v>
      </c>
      <c r="AH131" s="356">
        <f t="shared" si="82"/>
        <v>8.0909224845691075E-2</v>
      </c>
      <c r="AI131" s="356">
        <f t="shared" si="82"/>
        <v>-2.7710881302033252E-3</v>
      </c>
      <c r="AJ131" s="356">
        <f t="shared" si="82"/>
        <v>3.2548230868308048E-2</v>
      </c>
      <c r="AK131" s="356">
        <f t="shared" si="82"/>
        <v>5.194356913218634E-2</v>
      </c>
      <c r="AL131" s="356">
        <f t="shared" si="82"/>
        <v>-9.0313471202319029E-4</v>
      </c>
      <c r="AM131" s="356">
        <f t="shared" si="82"/>
        <v>0.16709664582389627</v>
      </c>
      <c r="AN131" s="356">
        <f t="shared" si="82"/>
        <v>0.2829720234255515</v>
      </c>
      <c r="AO131" s="356">
        <f t="shared" ref="AO131:AS131" si="83">AO100/AK100-1</f>
        <v>0.24944345821519609</v>
      </c>
      <c r="AP131" s="356">
        <f t="shared" si="83"/>
        <v>0.36967062952364205</v>
      </c>
      <c r="AQ131" s="356">
        <f t="shared" si="83"/>
        <v>0.2060160314331585</v>
      </c>
      <c r="AR131" s="356">
        <f t="shared" si="83"/>
        <v>7.9380833878589963E-2</v>
      </c>
      <c r="AS131" s="356">
        <f t="shared" si="83"/>
        <v>7.945519286555025E-2</v>
      </c>
      <c r="AT131" s="356">
        <f t="shared" ref="AT131:BC131" si="84">AT100/AP100-1</f>
        <v>4.8222645861694557E-2</v>
      </c>
      <c r="AU131" s="356">
        <f t="shared" si="84"/>
        <v>0.26108507434764228</v>
      </c>
      <c r="AV131" s="356">
        <f t="shared" si="84"/>
        <v>0.31788639390617202</v>
      </c>
      <c r="AW131" s="356">
        <f t="shared" si="84"/>
        <v>0.32948655488552303</v>
      </c>
      <c r="AX131" s="356">
        <f t="shared" si="84"/>
        <v>0.24151100140748682</v>
      </c>
      <c r="AY131" s="356">
        <f t="shared" si="84"/>
        <v>-1.2526598928935484E-2</v>
      </c>
      <c r="AZ131" s="356">
        <f t="shared" si="84"/>
        <v>-3.6527248462435935E-2</v>
      </c>
      <c r="BA131" s="356">
        <f t="shared" si="84"/>
        <v>-3.9790002552475889E-2</v>
      </c>
      <c r="BB131" s="356">
        <f t="shared" si="84"/>
        <v>-2.4785658237415076E-2</v>
      </c>
      <c r="BC131" s="356">
        <f t="shared" si="84"/>
        <v>6.3873385509705116E-2</v>
      </c>
      <c r="BD131" s="2"/>
      <c r="BE131" s="2"/>
    </row>
    <row r="132" spans="1:57">
      <c r="A132" s="2"/>
      <c r="B132" s="2"/>
      <c r="C132" s="2"/>
      <c r="D132" s="2"/>
      <c r="E132" s="401"/>
      <c r="F132" s="401"/>
      <c r="G132" s="401"/>
      <c r="H132" s="401"/>
      <c r="I132" s="401"/>
      <c r="J132" s="401"/>
      <c r="K132" s="401"/>
      <c r="L132" s="401"/>
      <c r="M132" s="401"/>
      <c r="N132" s="401"/>
      <c r="O132" s="401"/>
      <c r="P132" s="401"/>
      <c r="Q132" s="401"/>
      <c r="R132" s="401"/>
      <c r="S132" s="401"/>
      <c r="T132" s="401"/>
      <c r="U132" s="401"/>
      <c r="V132" s="401"/>
      <c r="W132" s="401"/>
      <c r="X132" s="401"/>
      <c r="Y132" s="401"/>
      <c r="Z132" s="401"/>
      <c r="AA132" s="401"/>
      <c r="AB132" s="401"/>
      <c r="AC132" s="401"/>
      <c r="AD132" s="401"/>
      <c r="AE132" s="356"/>
      <c r="AF132" s="356"/>
      <c r="AG132" s="356"/>
      <c r="AH132" s="356"/>
      <c r="AI132" s="356"/>
      <c r="AJ132" s="356"/>
      <c r="AK132" s="356"/>
      <c r="AL132" s="356"/>
      <c r="AM132" s="356"/>
      <c r="AN132" s="356"/>
      <c r="AO132" s="356"/>
      <c r="AP132" s="356"/>
      <c r="AQ132" s="356"/>
      <c r="AR132" s="356"/>
      <c r="AS132" s="356"/>
      <c r="AT132" s="356"/>
      <c r="AU132" s="356"/>
      <c r="AV132" s="356"/>
      <c r="AW132" s="356"/>
      <c r="AX132" s="356"/>
      <c r="AY132" s="356"/>
      <c r="AZ132" s="356"/>
      <c r="BA132" s="356"/>
      <c r="BB132" s="356"/>
      <c r="BC132" s="356"/>
      <c r="BD132" s="2"/>
      <c r="BE132" s="2"/>
    </row>
    <row r="133" spans="1:57">
      <c r="A133" s="2"/>
      <c r="B133" s="2" t="s">
        <v>408</v>
      </c>
      <c r="C133" s="2"/>
      <c r="D133" s="2"/>
      <c r="E133" s="401"/>
      <c r="F133" s="401">
        <f>F87/('Revenue, EBITDA, capex breakout'!F13*4)</f>
        <v>2.9636395791236222E-2</v>
      </c>
      <c r="G133" s="401">
        <f>G87/('Revenue, EBITDA, capex breakout'!G13*4)</f>
        <v>2.2072747510259852E-2</v>
      </c>
      <c r="H133" s="401">
        <f>H87/('Revenue, EBITDA, capex breakout'!H13*4)</f>
        <v>3.3455106458904621E-2</v>
      </c>
      <c r="I133" s="401">
        <f>I87/('Revenue, EBITDA, capex breakout'!I13*4)</f>
        <v>2.1144827075712528E-2</v>
      </c>
      <c r="J133" s="401">
        <f>J87/('Revenue, EBITDA, capex breakout'!J13*4)</f>
        <v>4.6677835954579326E-2</v>
      </c>
      <c r="K133" s="401">
        <f>K87/('Revenue, EBITDA, capex breakout'!K13*4)</f>
        <v>3.6131145542195792E-2</v>
      </c>
      <c r="L133" s="401">
        <f>L87/('Revenue, EBITDA, capex breakout'!L13*4)</f>
        <v>2.8919479453928025E-2</v>
      </c>
      <c r="M133" s="401">
        <f>M87/('Revenue, EBITDA, capex breakout'!M13*4)</f>
        <v>5.6041369440081368E-2</v>
      </c>
      <c r="N133" s="401">
        <f>N87/('Revenue, EBITDA, capex breakout'!N13*4)</f>
        <v>2.217615497177897E-2</v>
      </c>
      <c r="O133" s="401">
        <f>O87/('Revenue, EBITDA, capex breakout'!O13*4)</f>
        <v>1.744458354490221E-2</v>
      </c>
      <c r="P133" s="401">
        <f>P87/('Revenue, EBITDA, capex breakout'!P13*4)</f>
        <v>2.7326840992199716E-2</v>
      </c>
      <c r="Q133" s="401">
        <f>Q87/('Revenue, EBITDA, capex breakout'!Q13*4)</f>
        <v>1.2729464925810867E-2</v>
      </c>
      <c r="R133" s="401">
        <f>R87/('Revenue, EBITDA, capex breakout'!R13*4)</f>
        <v>3.9514762852278534E-2</v>
      </c>
      <c r="S133" s="401">
        <f>S87/('Revenue, EBITDA, capex breakout'!S13*4)</f>
        <v>2.2693900325981616E-2</v>
      </c>
      <c r="T133" s="401">
        <f>T87/('Revenue, EBITDA, capex breakout'!T13*4)</f>
        <v>2.2167150493021245E-2</v>
      </c>
      <c r="U133" s="401">
        <f>U87/('Revenue, EBITDA, capex breakout'!U13*4)</f>
        <v>3.7147116949991184E-2</v>
      </c>
      <c r="V133" s="401">
        <f>V87/('Revenue, EBITDA, capex breakout'!V13*4)</f>
        <v>2.003936721664416E-2</v>
      </c>
      <c r="W133" s="401">
        <f>W87/('Revenue, EBITDA, capex breakout'!W13*4)</f>
        <v>2.1983897503490661E-2</v>
      </c>
      <c r="X133" s="401">
        <f>X87/('Revenue, EBITDA, capex breakout'!X13*4)</f>
        <v>1.4104425802856781E-2</v>
      </c>
      <c r="Y133" s="401">
        <f>Y87/('Revenue, EBITDA, capex breakout'!Y13*4)</f>
        <v>1.4608431938721245E-2</v>
      </c>
      <c r="Z133" s="401">
        <f>Z87/('Revenue, EBITDA, capex breakout'!Z13*4)</f>
        <v>1.8802054216930202E-2</v>
      </c>
      <c r="AA133" s="401">
        <f>AA87/('Revenue, EBITDA, capex breakout'!AA13*4)</f>
        <v>1.8849101570930664E-2</v>
      </c>
      <c r="AB133" s="401">
        <f>AB87/('Revenue, EBITDA, capex breakout'!AB13*4)</f>
        <v>2.2509243668327298E-2</v>
      </c>
      <c r="AC133" s="401">
        <f>AC87/('Revenue, EBITDA, capex breakout'!AC13*4)</f>
        <v>6.0972934583010341E-2</v>
      </c>
      <c r="AD133" s="401">
        <f>AD87/('Revenue, EBITDA, capex breakout'!AD13*4)</f>
        <v>6.4814487454038547E-2</v>
      </c>
      <c r="AE133" s="356">
        <f>AE87/('Revenue, EBITDA, capex breakout'!AE13*4)</f>
        <v>7.6169984663261817E-2</v>
      </c>
      <c r="AF133" s="356">
        <f>AF87/('Revenue, EBITDA, capex breakout'!AF13*4)</f>
        <v>8.0221787248345375E-2</v>
      </c>
      <c r="AG133" s="356">
        <f>AG87/('Revenue, EBITDA, capex breakout'!AG13*4)</f>
        <v>7.5381512653988403E-2</v>
      </c>
      <c r="AH133" s="356">
        <f>AH87/('Revenue, EBITDA, capex breakout'!AH13*4)</f>
        <v>6.8840142926718709E-2</v>
      </c>
      <c r="AI133" s="356">
        <f>AI87/('Revenue, EBITDA, capex breakout'!AI13*4)</f>
        <v>0.12653859440734835</v>
      </c>
      <c r="AJ133" s="356">
        <f>AJ87/('Revenue, EBITDA, capex breakout'!AJ13*4)</f>
        <v>0.11625681752942302</v>
      </c>
      <c r="AK133" s="356">
        <f>AK87/('Revenue, EBITDA, capex breakout'!AK13*4)</f>
        <v>0.14717056132622608</v>
      </c>
      <c r="AL133" s="356">
        <f>AL87/('Revenue, EBITDA, capex breakout'!AL13*4)</f>
        <v>0.13869829929197991</v>
      </c>
      <c r="AM133" s="356">
        <f>AM87/('Revenue, EBITDA, capex breakout'!AM13*4)</f>
        <v>0.10498735056104451</v>
      </c>
      <c r="AN133" s="356">
        <f>AN87/('Revenue, EBITDA, capex breakout'!AN13*4)</f>
        <v>9.2716024707932027E-2</v>
      </c>
      <c r="AO133" s="356">
        <f>AO87/('Revenue, EBITDA, capex breakout'!AO13*4)</f>
        <v>7.851211583350487E-2</v>
      </c>
      <c r="AP133" s="356">
        <f>AP87/('Revenue, EBITDA, capex breakout'!AP13*4)</f>
        <v>7.9055508386212656E-2</v>
      </c>
      <c r="AQ133" s="356">
        <f>AQ87/('Revenue, EBITDA, capex breakout'!AQ13*4)</f>
        <v>5.4460679789877994E-2</v>
      </c>
      <c r="AR133" s="356">
        <f>AR87/('Revenue, EBITDA, capex breakout'!AR13*4)</f>
        <v>6.1117602941077993E-2</v>
      </c>
      <c r="AS133" s="356">
        <f>AS87/('Revenue, EBITDA, capex breakout'!AS13*4)</f>
        <v>4.8379697971130432E-2</v>
      </c>
      <c r="AT133" s="356">
        <f>AT87/('Revenue, EBITDA, capex breakout'!AT13*4)</f>
        <v>5.7803631198063685E-2</v>
      </c>
      <c r="AU133" s="356">
        <f>AU87/('Revenue, EBITDA, capex breakout'!AU13*4)</f>
        <v>4.7022892361875415E-2</v>
      </c>
      <c r="AV133" s="356">
        <f>AV87/('Revenue, EBITDA, capex breakout'!AV13*4)</f>
        <v>4.2401911496910992E-2</v>
      </c>
      <c r="AW133" s="356">
        <f>AW87/('Revenue, EBITDA, capex breakout'!AW13*4)</f>
        <v>4.9844483323613541E-2</v>
      </c>
      <c r="AX133" s="356">
        <f>AX87/('Revenue, EBITDA, capex breakout'!AX13*4)</f>
        <v>3.9262152777777781E-2</v>
      </c>
      <c r="AY133" s="356" t="e">
        <f>AY87/('Revenue, EBITDA, capex breakout'!BD13*4)</f>
        <v>#DIV/0!</v>
      </c>
      <c r="AZ133" s="356" t="e">
        <f>AZ87/('Revenue, EBITDA, capex breakout'!BE13*4)</f>
        <v>#DIV/0!</v>
      </c>
      <c r="BA133" s="356" t="e">
        <f>BA87/('Revenue, EBITDA, capex breakout'!BF13*4)</f>
        <v>#DIV/0!</v>
      </c>
      <c r="BB133" s="356" t="e">
        <f>BB87/('Revenue, EBITDA, capex breakout'!BG13*4)</f>
        <v>#DIV/0!</v>
      </c>
      <c r="BC133" s="356" t="e">
        <f>BC87/('Revenue, EBITDA, capex breakout'!BH13*4)</f>
        <v>#DIV/0!</v>
      </c>
      <c r="BD133" s="2"/>
      <c r="BE133" s="2"/>
    </row>
    <row r="134" spans="1:57">
      <c r="A134" s="2"/>
      <c r="B134" s="2" t="s">
        <v>409</v>
      </c>
      <c r="C134" s="2"/>
      <c r="D134" s="2"/>
      <c r="E134" s="428"/>
      <c r="F134" s="429">
        <f t="shared" ref="F134:AK134" si="85">F54+F55</f>
        <v>-1896.1618640177912</v>
      </c>
      <c r="G134" s="429">
        <f t="shared" si="85"/>
        <v>-25924.114262431583</v>
      </c>
      <c r="H134" s="429">
        <f t="shared" si="85"/>
        <v>15281.498528099371</v>
      </c>
      <c r="I134" s="429">
        <f t="shared" si="85"/>
        <v>-3103.556766664653</v>
      </c>
      <c r="J134" s="429">
        <f t="shared" si="85"/>
        <v>-7105</v>
      </c>
      <c r="K134" s="429">
        <f t="shared" si="85"/>
        <v>-42375</v>
      </c>
      <c r="L134" s="429">
        <f t="shared" si="85"/>
        <v>8365</v>
      </c>
      <c r="M134" s="429">
        <f t="shared" si="85"/>
        <v>53905</v>
      </c>
      <c r="N134" s="429">
        <f t="shared" si="85"/>
        <v>-50454</v>
      </c>
      <c r="O134" s="429">
        <f t="shared" si="85"/>
        <v>-37007</v>
      </c>
      <c r="P134" s="429">
        <f t="shared" si="85"/>
        <v>-23115</v>
      </c>
      <c r="Q134" s="429">
        <f t="shared" si="85"/>
        <v>34837</v>
      </c>
      <c r="R134" s="429">
        <f t="shared" si="85"/>
        <v>17029</v>
      </c>
      <c r="S134" s="429">
        <f t="shared" si="85"/>
        <v>-95523</v>
      </c>
      <c r="T134" s="429">
        <f t="shared" si="85"/>
        <v>-59977</v>
      </c>
      <c r="U134" s="429">
        <f t="shared" si="85"/>
        <v>16080</v>
      </c>
      <c r="V134" s="429">
        <f t="shared" si="85"/>
        <v>-26534</v>
      </c>
      <c r="W134" s="429">
        <f t="shared" si="85"/>
        <v>-38515</v>
      </c>
      <c r="X134" s="429">
        <f t="shared" si="85"/>
        <v>55496</v>
      </c>
      <c r="Y134" s="429">
        <f t="shared" si="85"/>
        <v>-6471</v>
      </c>
      <c r="Z134" s="429">
        <f t="shared" si="85"/>
        <v>-54302</v>
      </c>
      <c r="AA134" s="429">
        <f t="shared" si="85"/>
        <v>-23917</v>
      </c>
      <c r="AB134" s="429">
        <f t="shared" si="85"/>
        <v>1201</v>
      </c>
      <c r="AC134" s="429">
        <f t="shared" si="85"/>
        <v>-6471</v>
      </c>
      <c r="AD134" s="429">
        <f t="shared" si="85"/>
        <v>52862</v>
      </c>
      <c r="AE134" s="430">
        <f t="shared" si="85"/>
        <v>33763</v>
      </c>
      <c r="AF134" s="430">
        <f t="shared" si="85"/>
        <v>-62549</v>
      </c>
      <c r="AG134" s="430">
        <f t="shared" si="85"/>
        <v>-4180</v>
      </c>
      <c r="AH134" s="430">
        <f t="shared" si="85"/>
        <v>-105440</v>
      </c>
      <c r="AI134" s="430">
        <f t="shared" si="85"/>
        <v>52163.416098138725</v>
      </c>
      <c r="AJ134" s="430">
        <f t="shared" si="85"/>
        <v>75315.622292273329</v>
      </c>
      <c r="AK134" s="430">
        <f t="shared" si="85"/>
        <v>-84452.043661275355</v>
      </c>
      <c r="AL134" s="430">
        <f t="shared" ref="AL134:BB134" si="86">AL54+AL55</f>
        <v>-4292.8965540329955</v>
      </c>
      <c r="AM134" s="430">
        <f t="shared" si="86"/>
        <v>-76170.421984234214</v>
      </c>
      <c r="AN134" s="430">
        <f t="shared" si="86"/>
        <v>0</v>
      </c>
      <c r="AO134" s="430">
        <f t="shared" si="86"/>
        <v>0</v>
      </c>
      <c r="AP134" s="430">
        <f t="shared" si="86"/>
        <v>-61420.981096695556</v>
      </c>
      <c r="AQ134" s="430">
        <f t="shared" si="86"/>
        <v>-60114.971891604975</v>
      </c>
      <c r="AR134" s="430">
        <f t="shared" si="86"/>
        <v>16379.726858592592</v>
      </c>
      <c r="AS134" s="430">
        <f t="shared" si="86"/>
        <v>22730</v>
      </c>
      <c r="AT134" s="430">
        <f t="shared" si="86"/>
        <v>-27372.987129808615</v>
      </c>
      <c r="AU134" s="430">
        <f t="shared" si="86"/>
        <v>3056.2591261396374</v>
      </c>
      <c r="AV134" s="430">
        <f t="shared" si="86"/>
        <v>20527.515045200555</v>
      </c>
      <c r="AW134" s="430">
        <f t="shared" si="86"/>
        <v>-38362</v>
      </c>
      <c r="AX134" s="430">
        <f t="shared" si="86"/>
        <v>-20742.665706568569</v>
      </c>
      <c r="AY134" s="430">
        <f t="shared" si="86"/>
        <v>891</v>
      </c>
      <c r="AZ134" s="430">
        <f t="shared" si="86"/>
        <v>986.31935794882884</v>
      </c>
      <c r="BA134" s="430">
        <f t="shared" si="86"/>
        <v>-14814.966432452853</v>
      </c>
      <c r="BB134" s="430">
        <f t="shared" si="86"/>
        <v>-32598.953698485217</v>
      </c>
      <c r="BC134" s="430">
        <f t="shared" ref="BC134" si="87">BC54+BC55</f>
        <v>342.1545363193145</v>
      </c>
      <c r="BD134" s="2"/>
      <c r="BE134" s="2"/>
    </row>
    <row r="135" spans="1:57">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2"/>
      <c r="BE135" s="2"/>
    </row>
    <row r="136" spans="1:57">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2"/>
      <c r="BE136" s="2"/>
    </row>
    <row r="137" spans="1:57">
      <c r="A137" s="2"/>
      <c r="B137" s="476" t="s">
        <v>822</v>
      </c>
      <c r="C137" s="476"/>
      <c r="D137" s="476"/>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66"/>
      <c r="AF137" s="66"/>
      <c r="AG137" s="66"/>
      <c r="AH137" s="66"/>
      <c r="AI137" s="66"/>
      <c r="AJ137" s="66"/>
      <c r="AK137" s="66"/>
      <c r="AL137" s="66"/>
      <c r="AM137" s="66"/>
      <c r="AN137" s="66"/>
      <c r="AO137" s="66"/>
      <c r="AP137" s="66"/>
      <c r="AQ137" s="66"/>
      <c r="AR137" s="66"/>
      <c r="AS137" s="66"/>
      <c r="AT137" s="66"/>
      <c r="AU137" s="66"/>
      <c r="AV137" s="66"/>
      <c r="AW137" s="66"/>
      <c r="AX137" s="66"/>
      <c r="AY137" s="66"/>
      <c r="AZ137" s="66"/>
      <c r="BA137" s="66"/>
      <c r="BB137" s="66"/>
      <c r="BC137" s="66"/>
      <c r="BD137" s="2"/>
      <c r="BE137" s="2"/>
    </row>
    <row r="138" spans="1:57">
      <c r="A138" s="2"/>
      <c r="B138" s="477" t="s">
        <v>840</v>
      </c>
      <c r="C138" s="477"/>
      <c r="D138" s="477"/>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66"/>
      <c r="AF138" s="66"/>
      <c r="AG138" s="66"/>
      <c r="AH138" s="66"/>
      <c r="AI138" s="66"/>
      <c r="AJ138" s="66"/>
      <c r="AK138" s="66"/>
      <c r="AL138" s="66"/>
      <c r="AM138" s="66"/>
      <c r="AN138" s="66"/>
      <c r="AO138" s="66"/>
      <c r="AP138" s="469">
        <f>32505.199401761*(-1)</f>
        <v>-32505.199401761001</v>
      </c>
      <c r="AQ138" s="469">
        <f>31823.157074058*(-1)</f>
        <v>-31823.157074057999</v>
      </c>
      <c r="AR138" s="469">
        <f>33478.490223868*(-1)</f>
        <v>-33478.490223868001</v>
      </c>
      <c r="AS138" s="469">
        <f>30349.94092263*(-1)</f>
        <v>-30349.940922630001</v>
      </c>
      <c r="AT138" s="469">
        <v>-29634</v>
      </c>
      <c r="AU138" s="469">
        <f>30450.551925742*(-1)</f>
        <v>-30450.551925741998</v>
      </c>
      <c r="AV138" s="469">
        <f>31299.634092993*(-1)</f>
        <v>-31299.634092993001</v>
      </c>
      <c r="AW138" s="469">
        <f>32208.958634238*(-1)</f>
        <v>-32208.958634237999</v>
      </c>
      <c r="AX138" s="469">
        <v>-34222</v>
      </c>
      <c r="AY138" s="469">
        <f>30450.551925742*(-1)</f>
        <v>-30450.551925741998</v>
      </c>
      <c r="AZ138" s="469">
        <f>30450.551925742*(-1)</f>
        <v>-30450.551925741998</v>
      </c>
      <c r="BA138" s="469">
        <f>30450.551925742*(-1)</f>
        <v>-30450.551925741998</v>
      </c>
      <c r="BB138" s="469">
        <f>30450.551925742*(-1)</f>
        <v>-30450.551925741998</v>
      </c>
      <c r="BC138" s="469">
        <f>30450.551925742*(-1)</f>
        <v>-30450.551925741998</v>
      </c>
      <c r="BD138" s="2"/>
      <c r="BE138" s="2"/>
    </row>
    <row r="139" spans="1:57">
      <c r="A139" s="2"/>
      <c r="B139" s="479" t="s">
        <v>841</v>
      </c>
      <c r="C139" s="479"/>
      <c r="D139" s="47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66"/>
      <c r="AF139" s="66"/>
      <c r="AG139" s="66"/>
      <c r="AH139" s="66"/>
      <c r="AI139" s="66"/>
      <c r="AJ139" s="66"/>
      <c r="AK139" s="66"/>
      <c r="AL139" s="66"/>
      <c r="AM139" s="66"/>
      <c r="AN139" s="66"/>
      <c r="AO139" s="66"/>
      <c r="AP139" s="469">
        <f>7267.712488548*(-1)</f>
        <v>-7267.7124885479998</v>
      </c>
      <c r="AQ139" s="469">
        <f>7576.667943429*(-1)</f>
        <v>-7576.6679434289999</v>
      </c>
      <c r="AR139" s="469">
        <f>7474.076659003*(-1)</f>
        <v>-7474.0766590029998</v>
      </c>
      <c r="AS139" s="469">
        <f>7543.453578342*(-1)</f>
        <v>-7543.4535783419997</v>
      </c>
      <c r="AT139" s="469">
        <v>-9771</v>
      </c>
      <c r="AU139" s="469">
        <f>10970.131276778*(-1)</f>
        <v>-10970.131276778</v>
      </c>
      <c r="AV139" s="469">
        <f>11893.19517856*(-1)</f>
        <v>-11893.195178559999</v>
      </c>
      <c r="AW139" s="469">
        <f>12277.760360783*(-1)</f>
        <v>-12277.760360783001</v>
      </c>
      <c r="AX139" s="469">
        <v>-12653</v>
      </c>
      <c r="AY139" s="469">
        <f>10970.131276778*(-1)</f>
        <v>-10970.131276778</v>
      </c>
      <c r="AZ139" s="469">
        <f>10970.131276778*(-1)</f>
        <v>-10970.131276778</v>
      </c>
      <c r="BA139" s="469">
        <f>10970.131276778*(-1)</f>
        <v>-10970.131276778</v>
      </c>
      <c r="BB139" s="469">
        <f>10970.131276778*(-1)</f>
        <v>-10970.131276778</v>
      </c>
      <c r="BC139" s="469">
        <f>10970.131276778*(-1)</f>
        <v>-10970.131276778</v>
      </c>
      <c r="BD139" s="2"/>
      <c r="BE139" s="2"/>
    </row>
    <row r="140" spans="1:57">
      <c r="A140" s="2"/>
      <c r="B140" s="474" t="s">
        <v>839</v>
      </c>
      <c r="C140" s="474"/>
      <c r="D140" s="474"/>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66"/>
      <c r="AF140" s="66"/>
      <c r="AG140" s="66"/>
      <c r="AH140" s="66"/>
      <c r="AI140" s="66"/>
      <c r="AJ140" s="66"/>
      <c r="AK140" s="66"/>
      <c r="AL140" s="66"/>
      <c r="AM140" s="66"/>
      <c r="AN140" s="66"/>
      <c r="AO140" s="66"/>
      <c r="AP140" s="469">
        <f>1630.684996526*(-1)</f>
        <v>-1630.6849965260001</v>
      </c>
      <c r="AQ140" s="469">
        <f>1597.880814748*(-1)</f>
        <v>-1597.8808147479999</v>
      </c>
      <c r="AR140" s="469">
        <f>3584.235927823*(-1)</f>
        <v>-3584.2359278230001</v>
      </c>
      <c r="AS140" s="469">
        <f>2312.072304355*(-1)</f>
        <v>-2312.0723043550001</v>
      </c>
      <c r="AT140" s="469">
        <v>-5119</v>
      </c>
      <c r="AU140" s="469">
        <f>8131.29480637199*(-1)</f>
        <v>-8131.2948063719896</v>
      </c>
      <c r="AV140" s="469">
        <f>4112.67551256001*(-1)</f>
        <v>-4112.6755125600102</v>
      </c>
      <c r="AW140" s="469">
        <f>7130.832740054*(-1)</f>
        <v>-7130.8327400540002</v>
      </c>
      <c r="AX140" s="469">
        <v>-9261</v>
      </c>
      <c r="AY140" s="469">
        <f>8131.29480637199*(-1)</f>
        <v>-8131.2948063719896</v>
      </c>
      <c r="AZ140" s="469">
        <f>8131.29480637199*(-1)</f>
        <v>-8131.2948063719896</v>
      </c>
      <c r="BA140" s="469">
        <f>8131.29480637199*(-1)</f>
        <v>-8131.2948063719896</v>
      </c>
      <c r="BB140" s="469">
        <f>8131.29480637199*(-1)</f>
        <v>-8131.2948063719896</v>
      </c>
      <c r="BC140" s="469">
        <f>8131.29480637199*(-1)</f>
        <v>-8131.2948063719896</v>
      </c>
      <c r="BD140" s="2"/>
      <c r="BE140" s="2"/>
    </row>
    <row r="141" spans="1:57">
      <c r="A141" s="2"/>
      <c r="B141" s="474" t="s">
        <v>819</v>
      </c>
      <c r="C141" s="474"/>
      <c r="D141" s="474"/>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66"/>
      <c r="AF141" s="66"/>
      <c r="AG141" s="66"/>
      <c r="AH141" s="66"/>
      <c r="AI141" s="66"/>
      <c r="AJ141" s="66"/>
      <c r="AK141" s="66"/>
      <c r="AL141" s="66"/>
      <c r="AM141" s="66"/>
      <c r="AN141" s="66"/>
      <c r="AO141" s="66"/>
      <c r="AP141" s="469">
        <f>AP142-SUM(AP138:AP140)</f>
        <v>-853.40311316500447</v>
      </c>
      <c r="AQ141" s="469">
        <f t="shared" ref="AQ141:AS141" si="88">AQ142-SUM(AQ138:AQ140)</f>
        <v>1356.7058322349985</v>
      </c>
      <c r="AR141" s="469">
        <f t="shared" si="88"/>
        <v>865.80281069400371</v>
      </c>
      <c r="AS141" s="469">
        <f t="shared" si="88"/>
        <v>-387.53319467299298</v>
      </c>
      <c r="AT141" s="469">
        <f t="shared" ref="AT141:AY141" si="89">AT142-SUM(AT138:AT140)</f>
        <v>-585</v>
      </c>
      <c r="AU141" s="469">
        <f t="shared" si="89"/>
        <v>148.97800889198697</v>
      </c>
      <c r="AV141" s="469">
        <f t="shared" si="89"/>
        <v>449.50478411300719</v>
      </c>
      <c r="AW141" s="469">
        <f t="shared" si="89"/>
        <v>-13.448264924998512</v>
      </c>
      <c r="AX141" s="469">
        <f t="shared" si="89"/>
        <v>-1</v>
      </c>
      <c r="AY141" s="469">
        <f t="shared" si="89"/>
        <v>-2306.021991108013</v>
      </c>
      <c r="AZ141" s="469">
        <f t="shared" ref="AZ141:BA141" si="90">AZ142-SUM(AZ138:AZ140)</f>
        <v>-16897.021991108013</v>
      </c>
      <c r="BA141" s="469">
        <f t="shared" si="90"/>
        <v>-2481.021991108013</v>
      </c>
      <c r="BB141" s="469">
        <f t="shared" ref="BB141:BC141" si="91">BB142-SUM(BB138:BB140)</f>
        <v>-1972.021991108013</v>
      </c>
      <c r="BC141" s="469">
        <f t="shared" si="91"/>
        <v>-4685.021991108013</v>
      </c>
      <c r="BD141" s="2"/>
      <c r="BE141" s="2"/>
    </row>
    <row r="142" spans="1:57" s="30" customFormat="1">
      <c r="B142" s="484" t="s">
        <v>813</v>
      </c>
      <c r="C142" s="484"/>
      <c r="D142" s="484"/>
      <c r="E142" s="485"/>
      <c r="F142" s="485"/>
      <c r="G142" s="485"/>
      <c r="H142" s="485"/>
      <c r="I142" s="485"/>
      <c r="J142" s="485"/>
      <c r="K142" s="485"/>
      <c r="L142" s="485"/>
      <c r="M142" s="485"/>
      <c r="N142" s="485"/>
      <c r="O142" s="485"/>
      <c r="P142" s="485"/>
      <c r="Q142" s="485"/>
      <c r="R142" s="485"/>
      <c r="S142" s="485"/>
      <c r="T142" s="485"/>
      <c r="U142" s="485"/>
      <c r="V142" s="485"/>
      <c r="W142" s="485"/>
      <c r="X142" s="485"/>
      <c r="Y142" s="485"/>
      <c r="Z142" s="485"/>
      <c r="AA142" s="485"/>
      <c r="AB142" s="485"/>
      <c r="AC142" s="485"/>
      <c r="AD142" s="485"/>
      <c r="AE142" s="486"/>
      <c r="AF142" s="486"/>
      <c r="AG142" s="486"/>
      <c r="AH142" s="487"/>
      <c r="AI142" s="487"/>
      <c r="AJ142" s="487"/>
      <c r="AK142" s="487"/>
      <c r="AL142" s="487"/>
      <c r="AM142" s="487"/>
      <c r="AN142" s="487"/>
      <c r="AO142" s="487"/>
      <c r="AP142" s="487">
        <f>-'Reported Group Profit and Loss'!AP26</f>
        <v>-42257</v>
      </c>
      <c r="AQ142" s="487">
        <f>-'Reported Group Profit and Loss'!AQ26</f>
        <v>-39641</v>
      </c>
      <c r="AR142" s="487">
        <f>-'Reported Group Profit and Loss'!AR26</f>
        <v>-43671</v>
      </c>
      <c r="AS142" s="487">
        <f>-'Reported Group Profit and Loss'!AS26</f>
        <v>-40593</v>
      </c>
      <c r="AT142" s="487">
        <f>-'Reported Group Profit and Loss'!AT26</f>
        <v>-45109</v>
      </c>
      <c r="AU142" s="487">
        <f>-'Reported Group Profit and Loss'!AU26</f>
        <v>-49403</v>
      </c>
      <c r="AV142" s="487">
        <f>-'Reported Group Profit and Loss'!AV26</f>
        <v>-46856</v>
      </c>
      <c r="AW142" s="487">
        <f>-'Reported Group Profit and Loss'!AW26</f>
        <v>-51631</v>
      </c>
      <c r="AX142" s="487">
        <f>-'Reported Group Profit and Loss'!AX26</f>
        <v>-56137</v>
      </c>
      <c r="AY142" s="487">
        <f>-'Reported Group Profit and Loss'!AY26</f>
        <v>-51858</v>
      </c>
      <c r="AZ142" s="487">
        <f>-'Reported Group Profit and Loss'!AZ26</f>
        <v>-66449</v>
      </c>
      <c r="BA142" s="487">
        <f>-'Reported Group Profit and Loss'!BA26</f>
        <v>-52033</v>
      </c>
      <c r="BB142" s="487">
        <f>-'Reported Group Profit and Loss'!BB26</f>
        <v>-51524</v>
      </c>
      <c r="BC142" s="487">
        <f>-'Reported Group Profit and Loss'!BC26</f>
        <v>-54237</v>
      </c>
    </row>
    <row r="143" spans="1:57" s="475" customFormat="1">
      <c r="B143" s="475" t="s">
        <v>818</v>
      </c>
      <c r="E143" s="481"/>
      <c r="F143" s="481"/>
      <c r="G143" s="481"/>
      <c r="H143" s="481"/>
      <c r="I143" s="481"/>
      <c r="J143" s="481"/>
      <c r="K143" s="481"/>
      <c r="L143" s="481"/>
      <c r="M143" s="481"/>
      <c r="N143" s="481"/>
      <c r="O143" s="481"/>
      <c r="P143" s="481"/>
      <c r="Q143" s="481"/>
      <c r="R143" s="481"/>
      <c r="S143" s="481"/>
      <c r="T143" s="481"/>
      <c r="U143" s="481"/>
      <c r="V143" s="481"/>
      <c r="W143" s="481"/>
      <c r="X143" s="481"/>
      <c r="Y143" s="481"/>
      <c r="Z143" s="481"/>
      <c r="AA143" s="481"/>
      <c r="AB143" s="481"/>
      <c r="AC143" s="481"/>
      <c r="AD143" s="481"/>
      <c r="AE143" s="482"/>
      <c r="AF143" s="482"/>
      <c r="AG143" s="482"/>
      <c r="AH143" s="483"/>
      <c r="AI143" s="483"/>
      <c r="AJ143" s="483"/>
      <c r="AK143" s="483"/>
      <c r="AL143" s="483"/>
      <c r="AM143" s="483"/>
      <c r="AN143" s="483"/>
      <c r="AO143" s="483"/>
      <c r="AP143" s="483">
        <f>SUM($AO$142:AP142)</f>
        <v>-42257</v>
      </c>
      <c r="AQ143" s="483">
        <f>SUM($AO$142:AQ142)</f>
        <v>-81898</v>
      </c>
      <c r="AR143" s="483">
        <f>SUM($AO$142:AR142)</f>
        <v>-125569</v>
      </c>
      <c r="AS143" s="483">
        <f>SUM($AO$142:AS142)</f>
        <v>-166162</v>
      </c>
      <c r="AT143" s="483">
        <f>SUM($AO$142:AT142)</f>
        <v>-211271</v>
      </c>
      <c r="AU143" s="483">
        <f>SUM($AO$142:AU142)</f>
        <v>-260674</v>
      </c>
      <c r="AV143" s="483">
        <f>SUM($AO$142:AV142)</f>
        <v>-307530</v>
      </c>
      <c r="AW143" s="483">
        <f>SUM($AO$142:AW142)</f>
        <v>-359161</v>
      </c>
      <c r="AX143" s="483">
        <f>SUM($AO$142:AX142)</f>
        <v>-415298</v>
      </c>
      <c r="AY143" s="483">
        <f>SUM($AO$142:AY142)</f>
        <v>-467156</v>
      </c>
      <c r="AZ143" s="483">
        <f>SUM($AO$142:AZ142)</f>
        <v>-533605</v>
      </c>
      <c r="BA143" s="483">
        <f>SUM($AO$142:BA142)</f>
        <v>-585638</v>
      </c>
      <c r="BB143" s="483">
        <f>SUM($AO$142:BB142)</f>
        <v>-637162</v>
      </c>
      <c r="BC143" s="483">
        <f>SUM($AO$142:BC142)</f>
        <v>-691399</v>
      </c>
    </row>
    <row r="144" spans="1:57" s="475" customFormat="1">
      <c r="E144" s="481"/>
      <c r="F144" s="481"/>
      <c r="G144" s="481"/>
      <c r="H144" s="481"/>
      <c r="I144" s="481"/>
      <c r="J144" s="481"/>
      <c r="K144" s="481"/>
      <c r="L144" s="481"/>
      <c r="M144" s="481"/>
      <c r="N144" s="481"/>
      <c r="O144" s="481"/>
      <c r="P144" s="481"/>
      <c r="Q144" s="481"/>
      <c r="R144" s="481"/>
      <c r="S144" s="481"/>
      <c r="T144" s="481"/>
      <c r="U144" s="481"/>
      <c r="V144" s="481"/>
      <c r="W144" s="481"/>
      <c r="X144" s="481"/>
      <c r="Y144" s="481"/>
      <c r="Z144" s="481"/>
      <c r="AA144" s="481"/>
      <c r="AB144" s="481"/>
      <c r="AC144" s="481"/>
      <c r="AD144" s="481"/>
      <c r="AE144" s="482"/>
      <c r="AF144" s="482"/>
      <c r="AG144" s="482"/>
      <c r="AH144" s="483"/>
      <c r="AI144" s="483"/>
      <c r="AJ144" s="483"/>
      <c r="AK144" s="483"/>
      <c r="AL144" s="483"/>
      <c r="AM144" s="483"/>
      <c r="AN144" s="483"/>
      <c r="AO144" s="483"/>
      <c r="AP144" s="483"/>
      <c r="AQ144" s="483"/>
      <c r="AR144" s="483"/>
      <c r="AS144" s="483"/>
      <c r="AT144" s="483"/>
      <c r="AU144" s="483"/>
      <c r="AV144" s="483"/>
      <c r="AW144" s="483"/>
      <c r="AX144" s="483"/>
      <c r="AY144" s="483"/>
      <c r="AZ144" s="483"/>
      <c r="BA144" s="483"/>
      <c r="BB144" s="483"/>
      <c r="BC144" s="483"/>
    </row>
    <row r="145" spans="2:57">
      <c r="B145" s="49" t="s">
        <v>815</v>
      </c>
      <c r="C145" s="49"/>
      <c r="D145" s="49"/>
      <c r="E145" s="34"/>
      <c r="F145" s="34"/>
      <c r="G145" s="34"/>
      <c r="H145" s="34"/>
      <c r="I145" s="34"/>
      <c r="J145" s="34"/>
      <c r="K145" s="34"/>
      <c r="L145" s="34"/>
      <c r="M145" s="34"/>
      <c r="N145" s="34"/>
      <c r="O145" s="34"/>
      <c r="P145" s="34"/>
      <c r="Q145" s="34"/>
      <c r="R145" s="34"/>
      <c r="S145" s="34"/>
      <c r="T145" s="34"/>
      <c r="U145" s="34"/>
      <c r="V145" s="34"/>
      <c r="W145" s="34"/>
      <c r="X145" s="34"/>
      <c r="Y145" s="34"/>
      <c r="Z145" s="34"/>
      <c r="AA145" s="34"/>
      <c r="AB145" s="34"/>
      <c r="AC145" s="34"/>
      <c r="AD145" s="34"/>
      <c r="AE145" s="61"/>
      <c r="AF145" s="61"/>
      <c r="AG145" s="61"/>
      <c r="AH145" s="469"/>
      <c r="AI145" s="469"/>
      <c r="AJ145" s="469"/>
      <c r="AK145" s="469"/>
      <c r="AL145" s="469"/>
      <c r="AM145" s="469"/>
      <c r="AN145" s="469"/>
      <c r="AO145" s="469"/>
      <c r="AP145" s="469">
        <f t="shared" ref="AP145:AW145" si="92">-AP10</f>
        <v>343.06078837500002</v>
      </c>
      <c r="AQ145" s="469">
        <f t="shared" si="92"/>
        <v>413.08697324600007</v>
      </c>
      <c r="AR145" s="469">
        <f t="shared" si="92"/>
        <v>424.32818536299999</v>
      </c>
      <c r="AS145" s="469">
        <f t="shared" si="92"/>
        <v>1026</v>
      </c>
      <c r="AT145" s="469">
        <f t="shared" si="92"/>
        <v>488.04433288100995</v>
      </c>
      <c r="AU145" s="469">
        <f t="shared" si="92"/>
        <v>587.67559437599016</v>
      </c>
      <c r="AV145" s="469">
        <f t="shared" si="92"/>
        <v>1150.4098428130005</v>
      </c>
      <c r="AW145" s="469">
        <f t="shared" si="92"/>
        <v>854</v>
      </c>
      <c r="AX145" s="469">
        <f>-'Reported Group Profit and Loss'!AX27</f>
        <v>1116</v>
      </c>
      <c r="AY145" s="469">
        <f>-AY10</f>
        <v>1202.1817933110001</v>
      </c>
      <c r="AZ145" s="469">
        <f>-AZ10</f>
        <v>2805.2816772240103</v>
      </c>
      <c r="BA145" s="469">
        <f>-BA10</f>
        <v>1369.6858610769914</v>
      </c>
      <c r="BB145" s="469">
        <f>-BB10</f>
        <v>1346</v>
      </c>
      <c r="BC145" s="469">
        <f>-BC10</f>
        <v>683.99271199999998</v>
      </c>
    </row>
    <row r="146" spans="2:57">
      <c r="B146" s="497" t="s">
        <v>816</v>
      </c>
      <c r="C146" s="497"/>
      <c r="D146" s="497"/>
      <c r="E146" s="498"/>
      <c r="F146" s="498"/>
      <c r="G146" s="498"/>
      <c r="H146" s="498"/>
      <c r="I146" s="498"/>
      <c r="J146" s="498"/>
      <c r="K146" s="498"/>
      <c r="L146" s="498"/>
      <c r="M146" s="498"/>
      <c r="N146" s="498"/>
      <c r="O146" s="498"/>
      <c r="P146" s="498"/>
      <c r="Q146" s="498"/>
      <c r="R146" s="498"/>
      <c r="S146" s="498"/>
      <c r="T146" s="498"/>
      <c r="U146" s="498"/>
      <c r="V146" s="498"/>
      <c r="W146" s="498"/>
      <c r="X146" s="498"/>
      <c r="Y146" s="498"/>
      <c r="Z146" s="498"/>
      <c r="AA146" s="498"/>
      <c r="AB146" s="498"/>
      <c r="AC146" s="498"/>
      <c r="AD146" s="498"/>
      <c r="AE146" s="499"/>
      <c r="AF146" s="499"/>
      <c r="AG146" s="499"/>
      <c r="AH146" s="487"/>
      <c r="AI146" s="487"/>
      <c r="AJ146" s="487"/>
      <c r="AK146" s="487"/>
      <c r="AL146" s="487"/>
      <c r="AM146" s="487"/>
      <c r="AN146" s="487"/>
      <c r="AO146" s="487"/>
      <c r="AP146" s="487">
        <f>AP142+AP145</f>
        <v>-41913.939211625002</v>
      </c>
      <c r="AQ146" s="487">
        <f t="shared" ref="AQ146:AX146" si="93">AQ142+AQ145</f>
        <v>-39227.913026754002</v>
      </c>
      <c r="AR146" s="487">
        <f t="shared" si="93"/>
        <v>-43246.671814636997</v>
      </c>
      <c r="AS146" s="487">
        <f t="shared" si="93"/>
        <v>-39567</v>
      </c>
      <c r="AT146" s="487">
        <f t="shared" si="93"/>
        <v>-44620.955667118993</v>
      </c>
      <c r="AU146" s="487">
        <f t="shared" si="93"/>
        <v>-48815.324405624007</v>
      </c>
      <c r="AV146" s="487">
        <f t="shared" si="93"/>
        <v>-45705.590157186998</v>
      </c>
      <c r="AW146" s="487">
        <f t="shared" si="93"/>
        <v>-50777</v>
      </c>
      <c r="AX146" s="487">
        <f t="shared" si="93"/>
        <v>-55021</v>
      </c>
      <c r="AY146" s="487">
        <f t="shared" ref="AY146:AZ146" si="94">AY142+AY145</f>
        <v>-50655.818206689</v>
      </c>
      <c r="AZ146" s="487">
        <f t="shared" si="94"/>
        <v>-63643.718322775989</v>
      </c>
      <c r="BA146" s="487">
        <f t="shared" ref="BA146:BB146" si="95">BA142+BA145</f>
        <v>-50663.314138923008</v>
      </c>
      <c r="BB146" s="487">
        <f t="shared" si="95"/>
        <v>-50178</v>
      </c>
      <c r="BC146" s="487">
        <f t="shared" ref="BC146" si="96">BC142+BC145</f>
        <v>-53553.007288000001</v>
      </c>
      <c r="BE146" s="6" t="s">
        <v>842</v>
      </c>
    </row>
    <row r="147" spans="2:57" s="30" customFormat="1">
      <c r="B147" s="475" t="s">
        <v>818</v>
      </c>
      <c r="C147" s="475"/>
      <c r="D147" s="475"/>
      <c r="E147" s="472"/>
      <c r="F147" s="472"/>
      <c r="G147" s="472"/>
      <c r="H147" s="472"/>
      <c r="I147" s="472"/>
      <c r="J147" s="472"/>
      <c r="K147" s="472"/>
      <c r="L147" s="472"/>
      <c r="M147" s="472"/>
      <c r="N147" s="472"/>
      <c r="O147" s="472"/>
      <c r="P147" s="472"/>
      <c r="Q147" s="472"/>
      <c r="R147" s="472"/>
      <c r="S147" s="472"/>
      <c r="T147" s="472"/>
      <c r="U147" s="472"/>
      <c r="V147" s="472"/>
      <c r="W147" s="472"/>
      <c r="X147" s="472"/>
      <c r="Y147" s="472"/>
      <c r="Z147" s="472"/>
      <c r="AA147" s="472"/>
      <c r="AB147" s="472"/>
      <c r="AC147" s="472"/>
      <c r="AD147" s="472"/>
      <c r="AE147" s="473"/>
      <c r="AF147" s="473"/>
      <c r="AG147" s="473"/>
      <c r="AH147" s="470"/>
      <c r="AI147" s="470"/>
      <c r="AJ147" s="470"/>
      <c r="AK147" s="470"/>
      <c r="AL147" s="470"/>
      <c r="AM147" s="470"/>
      <c r="AN147" s="470"/>
      <c r="AO147" s="470"/>
      <c r="AP147" s="470">
        <f>SUM($AO$146:AP146)</f>
        <v>-41913.939211625002</v>
      </c>
      <c r="AQ147" s="470">
        <f>SUM($AO$146:AQ146)</f>
        <v>-81141.852238379011</v>
      </c>
      <c r="AR147" s="470">
        <f>SUM($AO$146:AR146)</f>
        <v>-124388.52405301601</v>
      </c>
      <c r="AS147" s="470">
        <f>SUM($AO$146:AS146)</f>
        <v>-163955.52405301601</v>
      </c>
      <c r="AT147" s="470">
        <f>SUM($AO$146:AT146)</f>
        <v>-208576.47972013499</v>
      </c>
      <c r="AU147" s="470">
        <f>SUM($AO$146:AU146)</f>
        <v>-257391.80412575899</v>
      </c>
      <c r="AV147" s="470">
        <f>SUM($AO$146:AV146)</f>
        <v>-303097.39428294601</v>
      </c>
      <c r="AW147" s="470">
        <f>SUM($AO$146:AW146)</f>
        <v>-353874.39428294601</v>
      </c>
      <c r="AX147" s="470">
        <f>SUM($AO$146:AX146)</f>
        <v>-408895.39428294601</v>
      </c>
      <c r="AY147" s="470">
        <f>SUM($AO$146:AY146)</f>
        <v>-459551.21248963499</v>
      </c>
      <c r="AZ147" s="470">
        <f>SUM($AO$146:AZ146)</f>
        <v>-523194.93081241095</v>
      </c>
      <c r="BA147" s="470">
        <f>SUM($AO$146:BA146)</f>
        <v>-573858.24495133397</v>
      </c>
      <c r="BB147" s="470">
        <f>SUM($AO$146:BB146)</f>
        <v>-624036.24495133397</v>
      </c>
      <c r="BC147" s="470">
        <f>SUM($AO$146:BC146)</f>
        <v>-677589.25223933393</v>
      </c>
    </row>
    <row r="148" spans="2:57">
      <c r="B148" s="49"/>
      <c r="C148" s="49"/>
      <c r="D148" s="49"/>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61"/>
      <c r="AF148" s="61"/>
      <c r="AG148" s="61"/>
      <c r="AH148" s="469"/>
      <c r="AI148" s="469"/>
      <c r="AJ148" s="469"/>
      <c r="AK148" s="469"/>
      <c r="AL148" s="469"/>
      <c r="AM148" s="469"/>
      <c r="AN148" s="469"/>
      <c r="AO148" s="469"/>
      <c r="AP148" s="469"/>
      <c r="AQ148" s="469"/>
      <c r="AR148" s="469"/>
      <c r="AS148" s="469"/>
      <c r="AT148" s="469"/>
      <c r="AU148" s="469"/>
      <c r="AV148" s="469"/>
      <c r="AW148" s="469"/>
      <c r="AX148" s="469"/>
      <c r="AY148" s="469"/>
      <c r="AZ148" s="469"/>
      <c r="BA148" s="469"/>
      <c r="BB148" s="469"/>
      <c r="BC148" s="469"/>
    </row>
    <row r="149" spans="2:57">
      <c r="B149" s="476" t="s">
        <v>821</v>
      </c>
      <c r="C149" s="476"/>
      <c r="D149" s="476"/>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61"/>
      <c r="AF149" s="61"/>
      <c r="AG149" s="61"/>
      <c r="AH149" s="469"/>
      <c r="AI149" s="469"/>
      <c r="AJ149" s="469"/>
      <c r="AK149" s="469"/>
      <c r="AL149" s="469"/>
      <c r="AM149" s="469"/>
      <c r="AN149" s="469"/>
      <c r="AO149" s="469"/>
      <c r="AP149" s="469"/>
      <c r="AQ149" s="469"/>
      <c r="AR149" s="469"/>
      <c r="AS149" s="469"/>
      <c r="AT149" s="469"/>
      <c r="AU149" s="469"/>
      <c r="AV149" s="469"/>
      <c r="AW149" s="469"/>
      <c r="AX149" s="469"/>
      <c r="AY149" s="469"/>
      <c r="AZ149" s="469"/>
      <c r="BA149" s="469"/>
      <c r="BB149" s="469"/>
      <c r="BC149" s="469"/>
    </row>
    <row r="150" spans="2:57">
      <c r="B150" s="478" t="s">
        <v>814</v>
      </c>
      <c r="C150" s="478"/>
      <c r="D150" s="478"/>
      <c r="AH150" s="469"/>
      <c r="AI150" s="469"/>
      <c r="AJ150" s="469"/>
      <c r="AK150" s="469"/>
      <c r="AL150" s="469"/>
      <c r="AM150" s="469"/>
      <c r="AN150" s="469"/>
      <c r="AO150" s="469"/>
      <c r="AP150" s="469">
        <f t="shared" ref="AP150:BB150" si="97">AP62</f>
        <v>-18727.389537107389</v>
      </c>
      <c r="AQ150" s="469">
        <f t="shared" si="97"/>
        <v>-11120.170855944471</v>
      </c>
      <c r="AR150" s="469">
        <f t="shared" si="97"/>
        <v>-41428.461429768678</v>
      </c>
      <c r="AS150" s="469">
        <f t="shared" si="97"/>
        <v>-60313</v>
      </c>
      <c r="AT150" s="469">
        <f t="shared" si="97"/>
        <v>-17500.216553712897</v>
      </c>
      <c r="AU150" s="469">
        <f t="shared" si="97"/>
        <v>-12173.193815786733</v>
      </c>
      <c r="AV150" s="469">
        <f t="shared" si="97"/>
        <v>-17261.570001499284</v>
      </c>
      <c r="AW150" s="469">
        <f t="shared" si="97"/>
        <v>-19958</v>
      </c>
      <c r="AX150" s="469">
        <f t="shared" si="97"/>
        <v>-23200</v>
      </c>
      <c r="AY150" s="469">
        <f t="shared" si="97"/>
        <v>-54561</v>
      </c>
      <c r="AZ150" s="469">
        <f t="shared" si="97"/>
        <v>-23309.75400719652</v>
      </c>
      <c r="BA150" s="469">
        <f t="shared" si="97"/>
        <v>-39192.581768330841</v>
      </c>
      <c r="BB150" s="469">
        <f t="shared" si="97"/>
        <v>-41579.664802518048</v>
      </c>
      <c r="BC150" s="469">
        <f t="shared" ref="BC150" si="98">BC62</f>
        <v>-63744.135818073657</v>
      </c>
      <c r="BE150" s="6" t="s">
        <v>824</v>
      </c>
    </row>
    <row r="151" spans="2:57">
      <c r="B151" s="480" t="s">
        <v>823</v>
      </c>
      <c r="C151" s="480"/>
      <c r="D151" s="480"/>
      <c r="AH151" s="469"/>
      <c r="AI151" s="469"/>
      <c r="AJ151" s="469"/>
      <c r="AK151" s="469"/>
      <c r="AL151" s="469"/>
      <c r="AM151" s="469"/>
      <c r="AN151" s="469"/>
      <c r="AO151" s="469"/>
      <c r="AP151" s="469">
        <f t="shared" ref="AP151:BB151" si="99">AP58</f>
        <v>-17623.040636960395</v>
      </c>
      <c r="AQ151" s="469">
        <f t="shared" si="99"/>
        <v>-16243.946354852509</v>
      </c>
      <c r="AR151" s="469">
        <f t="shared" si="99"/>
        <v>-20335.40054931811</v>
      </c>
      <c r="AS151" s="469">
        <f t="shared" si="99"/>
        <v>-22225</v>
      </c>
      <c r="AT151" s="469">
        <f t="shared" si="99"/>
        <v>-21058.465557797565</v>
      </c>
      <c r="AU151" s="469">
        <f t="shared" si="99"/>
        <v>-18871.090980584326</v>
      </c>
      <c r="AV151" s="469">
        <f t="shared" si="99"/>
        <v>-19095.075681192233</v>
      </c>
      <c r="AW151" s="469">
        <f t="shared" si="99"/>
        <v>-16961</v>
      </c>
      <c r="AX151" s="469">
        <f t="shared" si="99"/>
        <v>-19758.991594485429</v>
      </c>
      <c r="AY151" s="469">
        <f t="shared" si="99"/>
        <v>-20935</v>
      </c>
      <c r="AZ151" s="469">
        <f t="shared" si="99"/>
        <v>-19645.822124259234</v>
      </c>
      <c r="BA151" s="469">
        <f t="shared" si="99"/>
        <v>-18211.551608775953</v>
      </c>
      <c r="BB151" s="469">
        <f t="shared" si="99"/>
        <v>-18471.388805848514</v>
      </c>
      <c r="BC151" s="469">
        <f t="shared" ref="BC151" si="100">BC58</f>
        <v>-19666.563809129948</v>
      </c>
      <c r="BE151" s="6" t="s">
        <v>825</v>
      </c>
    </row>
    <row r="152" spans="2:57">
      <c r="B152" s="480"/>
      <c r="C152" s="480"/>
      <c r="D152" s="480"/>
      <c r="AH152" s="469"/>
      <c r="AI152" s="469"/>
      <c r="AJ152" s="469"/>
      <c r="AK152" s="469"/>
      <c r="AL152" s="469"/>
      <c r="AM152" s="469"/>
      <c r="AN152" s="469"/>
      <c r="AO152" s="469"/>
      <c r="AP152" s="469"/>
      <c r="AQ152" s="469"/>
      <c r="AR152" s="469"/>
      <c r="AS152" s="469"/>
      <c r="AT152" s="469"/>
      <c r="AU152" s="469"/>
      <c r="AV152" s="469"/>
      <c r="AW152" s="469"/>
      <c r="AX152" s="469"/>
      <c r="AY152" s="469"/>
      <c r="AZ152" s="469"/>
      <c r="BA152" s="469"/>
      <c r="BB152" s="469"/>
      <c r="BC152" s="469"/>
    </row>
    <row r="153" spans="2:57">
      <c r="B153" s="488" t="s">
        <v>820</v>
      </c>
      <c r="C153" s="488"/>
      <c r="D153" s="488"/>
      <c r="E153" s="489"/>
      <c r="F153" s="489"/>
      <c r="G153" s="489"/>
      <c r="H153" s="489"/>
      <c r="I153" s="489"/>
      <c r="J153" s="489"/>
      <c r="K153" s="489"/>
      <c r="L153" s="489"/>
      <c r="M153" s="489"/>
      <c r="N153" s="489"/>
      <c r="O153" s="489"/>
      <c r="P153" s="489"/>
      <c r="Q153" s="489"/>
      <c r="R153" s="489"/>
      <c r="S153" s="489"/>
      <c r="T153" s="489"/>
      <c r="U153" s="489"/>
      <c r="V153" s="489"/>
      <c r="W153" s="489"/>
      <c r="X153" s="489"/>
      <c r="Y153" s="489"/>
      <c r="Z153" s="489"/>
      <c r="AA153" s="489"/>
      <c r="AB153" s="489"/>
      <c r="AC153" s="489"/>
      <c r="AD153" s="489"/>
      <c r="AE153" s="490"/>
      <c r="AF153" s="490"/>
      <c r="AG153" s="490"/>
      <c r="AH153" s="487"/>
      <c r="AI153" s="487"/>
      <c r="AJ153" s="487"/>
      <c r="AK153" s="487"/>
      <c r="AL153" s="487"/>
      <c r="AM153" s="487"/>
      <c r="AN153" s="487"/>
      <c r="AO153" s="487"/>
      <c r="AP153" s="487">
        <f>AP150+AP151+AP152</f>
        <v>-36350.430174067784</v>
      </c>
      <c r="AQ153" s="487">
        <f t="shared" ref="AQ153:AX153" si="101">AQ150+AQ151+AQ152</f>
        <v>-27364.11721079698</v>
      </c>
      <c r="AR153" s="487">
        <f t="shared" si="101"/>
        <v>-61763.861979086789</v>
      </c>
      <c r="AS153" s="487">
        <f t="shared" si="101"/>
        <v>-82538</v>
      </c>
      <c r="AT153" s="487">
        <f t="shared" si="101"/>
        <v>-38558.682111510461</v>
      </c>
      <c r="AU153" s="487">
        <f t="shared" si="101"/>
        <v>-31044.284796371059</v>
      </c>
      <c r="AV153" s="487">
        <f t="shared" si="101"/>
        <v>-36356.645682691516</v>
      </c>
      <c r="AW153" s="487">
        <f t="shared" si="101"/>
        <v>-36919</v>
      </c>
      <c r="AX153" s="487">
        <f t="shared" si="101"/>
        <v>-42958.991594485429</v>
      </c>
      <c r="AY153" s="487">
        <f t="shared" ref="AY153:AZ153" si="102">AY150+AY151+AY152</f>
        <v>-75496</v>
      </c>
      <c r="AZ153" s="487">
        <f t="shared" si="102"/>
        <v>-42955.576131455753</v>
      </c>
      <c r="BA153" s="487">
        <f t="shared" ref="BA153:BB153" si="103">BA150+BA151+BA152</f>
        <v>-57404.133377106795</v>
      </c>
      <c r="BB153" s="487">
        <f t="shared" si="103"/>
        <v>-60051.053608366565</v>
      </c>
      <c r="BC153" s="487">
        <f t="shared" ref="BC153" si="104">BC150+BC151+BC152</f>
        <v>-83410.699627203605</v>
      </c>
    </row>
    <row r="154" spans="2:57" s="30" customFormat="1">
      <c r="B154" s="30" t="s">
        <v>818</v>
      </c>
      <c r="AE154" s="25"/>
      <c r="AF154" s="25"/>
      <c r="AG154" s="25"/>
      <c r="AH154" s="25"/>
      <c r="AI154" s="470"/>
      <c r="AJ154" s="470"/>
      <c r="AK154" s="470"/>
      <c r="AL154" s="470"/>
      <c r="AM154" s="470"/>
      <c r="AN154" s="470"/>
      <c r="AO154" s="470"/>
      <c r="AP154" s="470">
        <f>SUM($AO$153:AP153)</f>
        <v>-36350.430174067784</v>
      </c>
      <c r="AQ154" s="470">
        <f>SUM($AO$153:AQ153)</f>
        <v>-63714.547384864767</v>
      </c>
      <c r="AR154" s="470">
        <f>SUM($AO$153:AR153)</f>
        <v>-125478.40936395156</v>
      </c>
      <c r="AS154" s="470">
        <f>SUM($AO$153:AS153)</f>
        <v>-208016.40936395156</v>
      </c>
      <c r="AT154" s="470">
        <f>SUM($AO$153:AT153)</f>
        <v>-246575.09147546202</v>
      </c>
      <c r="AU154" s="470">
        <f>SUM($AO$153:AU153)</f>
        <v>-277619.37627183308</v>
      </c>
      <c r="AV154" s="470">
        <f>SUM($AO$153:AV153)</f>
        <v>-313976.02195452462</v>
      </c>
      <c r="AW154" s="470">
        <f>SUM($AO$153:AW153)</f>
        <v>-350895.02195452462</v>
      </c>
      <c r="AX154" s="470">
        <f>SUM($AO$153:AX153)</f>
        <v>-393854.01354901004</v>
      </c>
      <c r="AY154" s="470">
        <f>SUM($AO$153:AY153)</f>
        <v>-469350.01354901004</v>
      </c>
      <c r="AZ154" s="470">
        <f>SUM($AO$153:AZ153)</f>
        <v>-512305.58968046581</v>
      </c>
      <c r="BA154" s="470">
        <f>SUM($AO$153:BA153)</f>
        <v>-569709.72305757261</v>
      </c>
      <c r="BB154" s="470">
        <f>SUM($AO$153:BB153)</f>
        <v>-629760.77666593913</v>
      </c>
      <c r="BC154" s="470">
        <f>SUM($AO$153:BC153)</f>
        <v>-713171.47629314277</v>
      </c>
    </row>
    <row r="155" spans="2:57">
      <c r="AI155" s="469"/>
      <c r="AJ155" s="469"/>
      <c r="AK155" s="469"/>
      <c r="AL155" s="469"/>
      <c r="AM155" s="469"/>
      <c r="AN155" s="469"/>
      <c r="AO155" s="469"/>
      <c r="AP155" s="469"/>
      <c r="AQ155" s="469"/>
      <c r="AR155" s="469"/>
      <c r="AS155" s="469"/>
      <c r="AT155" s="469"/>
      <c r="AU155" s="469"/>
      <c r="AV155" s="469"/>
      <c r="AW155" s="469"/>
      <c r="AX155" s="469"/>
      <c r="AY155" s="469"/>
      <c r="AZ155" s="469"/>
      <c r="BA155" s="469"/>
      <c r="BB155" s="469"/>
      <c r="BC155" s="469"/>
    </row>
    <row r="156" spans="2:57">
      <c r="AI156" s="469"/>
      <c r="AJ156" s="469"/>
      <c r="AK156" s="469"/>
      <c r="AL156" s="469"/>
      <c r="AM156" s="469"/>
      <c r="AN156" s="469"/>
      <c r="AO156" s="469"/>
      <c r="AP156" s="469"/>
      <c r="AQ156" s="469"/>
      <c r="AR156" s="469"/>
      <c r="AS156" s="469"/>
      <c r="AT156" s="469"/>
      <c r="AU156" s="469"/>
      <c r="AV156" s="469"/>
      <c r="AW156" s="469"/>
      <c r="AX156" s="469"/>
      <c r="AY156" s="469"/>
      <c r="AZ156" s="469"/>
      <c r="BA156" s="469"/>
      <c r="BB156" s="469"/>
      <c r="BC156" s="469"/>
    </row>
    <row r="157" spans="2:57">
      <c r="B157" s="6" t="s">
        <v>817</v>
      </c>
      <c r="AH157" s="469"/>
      <c r="AI157" s="469"/>
      <c r="AJ157" s="469"/>
      <c r="AK157" s="469"/>
      <c r="AL157" s="469"/>
      <c r="AM157" s="469"/>
      <c r="AN157" s="469"/>
      <c r="AO157" s="469"/>
      <c r="AP157" s="469">
        <f t="shared" ref="AP157:AX157" si="105">AP142-AP153</f>
        <v>-5906.5698259322162</v>
      </c>
      <c r="AQ157" s="469">
        <f t="shared" si="105"/>
        <v>-12276.88278920302</v>
      </c>
      <c r="AR157" s="469">
        <f t="shared" si="105"/>
        <v>18092.861979086789</v>
      </c>
      <c r="AS157" s="469">
        <f t="shared" si="105"/>
        <v>41945</v>
      </c>
      <c r="AT157" s="469">
        <f t="shared" si="105"/>
        <v>-6550.3178884895387</v>
      </c>
      <c r="AU157" s="469">
        <f t="shared" si="105"/>
        <v>-18358.715203628941</v>
      </c>
      <c r="AV157" s="469">
        <f t="shared" si="105"/>
        <v>-10499.354317308484</v>
      </c>
      <c r="AW157" s="469">
        <f t="shared" si="105"/>
        <v>-14712</v>
      </c>
      <c r="AX157" s="469">
        <f t="shared" si="105"/>
        <v>-13178.008405514571</v>
      </c>
      <c r="AY157" s="469">
        <f t="shared" ref="AY157:AZ157" si="106">AY142-AY153</f>
        <v>23638</v>
      </c>
      <c r="AZ157" s="469">
        <f t="shared" si="106"/>
        <v>-23493.423868544247</v>
      </c>
      <c r="BA157" s="469">
        <f t="shared" ref="BA157:BB157" si="107">BA142-BA153</f>
        <v>5371.1333771067948</v>
      </c>
      <c r="BB157" s="469">
        <f t="shared" si="107"/>
        <v>8527.0536083665647</v>
      </c>
      <c r="BC157" s="469">
        <f t="shared" ref="BC157" si="108">BC142-BC153</f>
        <v>29173.699627203605</v>
      </c>
    </row>
    <row r="158" spans="2:57">
      <c r="AP158" s="469">
        <f t="shared" ref="AP158:AX158" si="109">AP138-AP150</f>
        <v>-13777.809864653613</v>
      </c>
      <c r="AQ158" s="469">
        <f t="shared" si="109"/>
        <v>-20702.986218113529</v>
      </c>
      <c r="AR158" s="469">
        <f t="shared" si="109"/>
        <v>7949.9712059006779</v>
      </c>
      <c r="AS158" s="469">
        <f t="shared" si="109"/>
        <v>29963.059077369999</v>
      </c>
      <c r="AT158" s="469">
        <f t="shared" si="109"/>
        <v>-12133.783446287103</v>
      </c>
      <c r="AU158" s="469">
        <f t="shared" si="109"/>
        <v>-18277.358109955265</v>
      </c>
      <c r="AV158" s="469">
        <f t="shared" si="109"/>
        <v>-14038.064091493718</v>
      </c>
      <c r="AW158" s="469">
        <f t="shared" si="109"/>
        <v>-12250.958634237999</v>
      </c>
      <c r="AX158" s="469">
        <f t="shared" si="109"/>
        <v>-11022</v>
      </c>
      <c r="AY158" s="469">
        <f t="shared" ref="AY158:AZ158" si="110">AY138-AY150</f>
        <v>24110.448074258002</v>
      </c>
      <c r="AZ158" s="469">
        <f t="shared" si="110"/>
        <v>-7140.7979185454788</v>
      </c>
      <c r="BA158" s="469">
        <f t="shared" ref="BA158:BB158" si="111">BA138-BA150</f>
        <v>8742.0298425888432</v>
      </c>
      <c r="BB158" s="469">
        <f t="shared" si="111"/>
        <v>11129.112876776049</v>
      </c>
      <c r="BC158" s="469">
        <f t="shared" ref="BC158" si="112">BC138-BC150</f>
        <v>33293.583892331662</v>
      </c>
    </row>
    <row r="159" spans="2:57">
      <c r="AP159" s="469">
        <f>AP147-AP154</f>
        <v>-5563.5090375572181</v>
      </c>
      <c r="AQ159" s="469">
        <f t="shared" ref="AQ159:AX159" si="113">AQ147-AQ154</f>
        <v>-17427.304853514244</v>
      </c>
      <c r="AR159" s="469">
        <f t="shared" si="113"/>
        <v>1089.885310935555</v>
      </c>
      <c r="AS159" s="469">
        <f t="shared" si="113"/>
        <v>44060.885310935555</v>
      </c>
      <c r="AT159" s="469">
        <f t="shared" si="113"/>
        <v>37998.611755327031</v>
      </c>
      <c r="AU159" s="469">
        <f t="shared" si="113"/>
        <v>20227.57214607409</v>
      </c>
      <c r="AV159" s="469">
        <f t="shared" si="113"/>
        <v>10878.627671578608</v>
      </c>
      <c r="AW159" s="469">
        <f t="shared" si="113"/>
        <v>-2979.372328421392</v>
      </c>
      <c r="AX159" s="469">
        <f t="shared" si="113"/>
        <v>-15041.380733935977</v>
      </c>
      <c r="AY159" s="469">
        <f t="shared" ref="AY159:AZ159" si="114">AY147-AY154</f>
        <v>9798.8010593750514</v>
      </c>
      <c r="AZ159" s="469">
        <f t="shared" si="114"/>
        <v>-10889.341131945141</v>
      </c>
      <c r="BA159" s="469">
        <f t="shared" ref="BA159:BB159" si="115">BA147-BA154</f>
        <v>-4148.5218937613536</v>
      </c>
      <c r="BB159" s="469">
        <f t="shared" si="115"/>
        <v>5724.5317146051675</v>
      </c>
      <c r="BC159" s="469">
        <f t="shared" ref="BC159" si="116">BC147-BC154</f>
        <v>35582.224053808837</v>
      </c>
    </row>
    <row r="160" spans="2:57">
      <c r="B160" s="491" t="s">
        <v>826</v>
      </c>
      <c r="C160" s="491"/>
      <c r="D160" s="491"/>
    </row>
    <row r="162" spans="2:6">
      <c r="B162" s="6" t="s">
        <v>836</v>
      </c>
      <c r="E162" s="493">
        <v>44440</v>
      </c>
    </row>
    <row r="163" spans="2:6">
      <c r="B163" s="30" t="s">
        <v>828</v>
      </c>
      <c r="C163" s="30"/>
      <c r="D163" s="30"/>
    </row>
    <row r="164" spans="2:6">
      <c r="B164" s="6" t="s">
        <v>834</v>
      </c>
      <c r="E164" s="494"/>
    </row>
    <row r="165" spans="2:6">
      <c r="B165" s="6" t="s">
        <v>829</v>
      </c>
      <c r="E165" s="417">
        <v>535</v>
      </c>
    </row>
    <row r="166" spans="2:6">
      <c r="B166" s="6" t="s">
        <v>830</v>
      </c>
      <c r="E166" s="417">
        <v>392287662</v>
      </c>
      <c r="F166" s="6" t="s">
        <v>837</v>
      </c>
    </row>
    <row r="167" spans="2:6">
      <c r="B167" s="6" t="s">
        <v>833</v>
      </c>
      <c r="E167" s="417">
        <f>E165*E166/10^6</f>
        <v>209873.89916999999</v>
      </c>
      <c r="F167" s="6" t="s">
        <v>831</v>
      </c>
    </row>
    <row r="168" spans="2:6">
      <c r="B168" s="6" t="s">
        <v>209</v>
      </c>
      <c r="E168" s="417" t="s">
        <v>838</v>
      </c>
    </row>
    <row r="170" spans="2:6">
      <c r="B170" s="6" t="s">
        <v>836</v>
      </c>
      <c r="E170" s="493">
        <v>44743</v>
      </c>
      <c r="F170" s="6" t="s">
        <v>835</v>
      </c>
    </row>
    <row r="171" spans="2:6">
      <c r="B171" s="30" t="s">
        <v>828</v>
      </c>
      <c r="C171" s="30"/>
      <c r="D171" s="30"/>
      <c r="E171" s="6" t="s">
        <v>827</v>
      </c>
    </row>
    <row r="172" spans="2:6">
      <c r="B172" s="6" t="s">
        <v>834</v>
      </c>
      <c r="E172" s="494">
        <v>1.2800000000000001E-2</v>
      </c>
    </row>
    <row r="173" spans="2:6">
      <c r="B173" s="6" t="s">
        <v>829</v>
      </c>
      <c r="E173" s="417">
        <v>734</v>
      </c>
    </row>
    <row r="174" spans="2:6">
      <c r="B174" s="6" t="s">
        <v>830</v>
      </c>
      <c r="E174" s="417">
        <v>71176839</v>
      </c>
    </row>
    <row r="175" spans="2:6">
      <c r="B175" s="6" t="s">
        <v>833</v>
      </c>
      <c r="E175" s="417">
        <f>E173*E174/10^6</f>
        <v>52243.799826000002</v>
      </c>
      <c r="F175" s="6" t="s">
        <v>831</v>
      </c>
    </row>
    <row r="176" spans="2:6">
      <c r="E176" s="417">
        <f>E175/82</f>
        <v>637.11951007317077</v>
      </c>
      <c r="F176" s="6" t="s">
        <v>832</v>
      </c>
    </row>
    <row r="178" spans="2:4" ht="15.7">
      <c r="B178" s="492"/>
      <c r="C178" s="492"/>
      <c r="D178" s="492"/>
    </row>
  </sheetData>
  <phoneticPr fontId="76" type="noConversion"/>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Q96"/>
  <sheetViews>
    <sheetView showGridLines="0" zoomScale="70" zoomScaleNormal="70" workbookViewId="0">
      <pane xSplit="1" ySplit="2" topLeftCell="AY15" activePane="bottomRight" state="frozen"/>
      <selection activeCell="BA80" sqref="BA80"/>
      <selection pane="topRight" activeCell="BA80" sqref="BA80"/>
      <selection pane="bottomLeft" activeCell="BA80" sqref="BA80"/>
      <selection pane="bottomRight" activeCell="BE32" sqref="BE32"/>
    </sheetView>
  </sheetViews>
  <sheetFormatPr defaultColWidth="9.234375" defaultRowHeight="15.35"/>
  <cols>
    <col min="1" max="1" width="43.76171875" style="6" customWidth="1"/>
    <col min="2" max="5" width="13.76171875" style="6" bestFit="1" customWidth="1"/>
    <col min="6" max="6" width="13.234375" style="6" bestFit="1" customWidth="1"/>
    <col min="7" max="10" width="14.234375" style="6" bestFit="1" customWidth="1"/>
    <col min="11" max="14" width="13.76171875" style="6" bestFit="1" customWidth="1"/>
    <col min="15" max="15" width="14.234375" style="6" bestFit="1" customWidth="1"/>
    <col min="16" max="16" width="13.234375" style="6" bestFit="1" customWidth="1"/>
    <col min="17" max="17" width="13.76171875" style="6" bestFit="1" customWidth="1"/>
    <col min="18" max="22" width="14.234375" style="6" bestFit="1" customWidth="1"/>
    <col min="23" max="23" width="13.76171875" style="6" bestFit="1" customWidth="1"/>
    <col min="24" max="24" width="14.234375" style="6" bestFit="1" customWidth="1"/>
    <col min="25" max="25" width="13.76171875" style="6" bestFit="1" customWidth="1"/>
    <col min="26" max="26" width="13.234375" style="6" bestFit="1" customWidth="1"/>
    <col min="27" max="31" width="13.76171875" style="6" bestFit="1" customWidth="1"/>
    <col min="32" max="32" width="13.234375" style="6" bestFit="1" customWidth="1"/>
    <col min="33" max="34" width="14.234375" style="6" bestFit="1" customWidth="1"/>
    <col min="35" max="35" width="12.76171875" style="6" bestFit="1" customWidth="1"/>
    <col min="36" max="36" width="13.234375" style="6" bestFit="1" customWidth="1"/>
    <col min="37" max="37" width="13.76171875" style="6" bestFit="1" customWidth="1"/>
    <col min="38" max="39" width="14.234375" style="6" bestFit="1" customWidth="1"/>
    <col min="40" max="40" width="13.76171875" style="6" bestFit="1" customWidth="1"/>
    <col min="41" max="55" width="14.234375" style="6" bestFit="1" customWidth="1"/>
    <col min="56" max="56" width="6.234375" style="6" bestFit="1" customWidth="1"/>
    <col min="57" max="57" width="80.76171875" style="6" bestFit="1" customWidth="1"/>
    <col min="58" max="58" width="11.234375" style="6" customWidth="1"/>
    <col min="59" max="59" width="0" style="6" hidden="1" customWidth="1"/>
    <col min="60" max="60" width="11.76171875" style="6" hidden="1" customWidth="1"/>
    <col min="61" max="61" width="0" style="6" hidden="1" customWidth="1"/>
    <col min="62" max="62" width="12.76171875" style="6" hidden="1" customWidth="1"/>
    <col min="63" max="63" width="12" style="6" hidden="1" customWidth="1"/>
    <col min="64" max="65" width="9.234375" style="6" hidden="1" customWidth="1"/>
    <col min="66" max="66" width="13.234375" style="6" hidden="1" customWidth="1"/>
    <col min="67" max="67" width="10.234375" style="6" hidden="1" customWidth="1"/>
    <col min="68" max="68" width="13.234375" style="6" hidden="1" customWidth="1"/>
    <col min="69" max="70" width="9.234375" style="6" hidden="1" customWidth="1"/>
    <col min="71" max="71" width="14.234375" style="6" hidden="1" customWidth="1"/>
    <col min="72" max="72" width="9.234375" style="6" hidden="1" customWidth="1"/>
    <col min="73" max="74" width="9.52734375" style="6" hidden="1" customWidth="1"/>
    <col min="75" max="75" width="0" style="6" hidden="1" customWidth="1"/>
    <col min="76" max="76" width="12.41015625" style="6" hidden="1" customWidth="1"/>
    <col min="77" max="85" width="0" style="6" hidden="1" customWidth="1"/>
    <col min="86" max="86" width="11.76171875" style="6" hidden="1" customWidth="1"/>
    <col min="87" max="87" width="10.52734375" style="6" bestFit="1" customWidth="1"/>
    <col min="88" max="88" width="13.76171875" style="6" bestFit="1" customWidth="1"/>
    <col min="89" max="94" width="9.234375" style="6"/>
    <col min="95" max="95" width="9.3515625" style="6" bestFit="1" customWidth="1"/>
    <col min="96" max="16384" width="9.234375" style="6"/>
  </cols>
  <sheetData>
    <row r="1" spans="1:95" s="30" customFormat="1">
      <c r="A1" s="508" t="s">
        <v>27</v>
      </c>
      <c r="B1" s="509" t="s">
        <v>0</v>
      </c>
      <c r="C1" s="509" t="s">
        <v>1</v>
      </c>
      <c r="D1" s="509" t="s">
        <v>2</v>
      </c>
      <c r="E1" s="509" t="str">
        <f>'Reported Group Profit and Loss'!E1</f>
        <v>4Q12</v>
      </c>
      <c r="F1" s="509" t="str">
        <f>'Reported Group Profit and Loss'!F1</f>
        <v>1Q13</v>
      </c>
      <c r="G1" s="509" t="str">
        <f>'Reported Group Profit and Loss'!G1</f>
        <v>2Q13</v>
      </c>
      <c r="H1" s="509" t="str">
        <f>'Reported Group Profit and Loss'!H1</f>
        <v>3Q13</v>
      </c>
      <c r="I1" s="509" t="str">
        <f>'Reported Group Profit and Loss'!I1</f>
        <v>4Q13</v>
      </c>
      <c r="J1" s="509" t="str">
        <f>'Reported Group Profit and Loss'!J1</f>
        <v>1Q14</v>
      </c>
      <c r="K1" s="509" t="str">
        <f>'Reported Group Profit and Loss'!K1</f>
        <v>2Q14</v>
      </c>
      <c r="L1" s="509" t="str">
        <f>'Reported Group Profit and Loss'!L1</f>
        <v>3Q14</v>
      </c>
      <c r="M1" s="509" t="str">
        <f>'Reported Group Profit and Loss'!M1</f>
        <v>4Q14</v>
      </c>
      <c r="N1" s="509" t="str">
        <f>'Reported Group Profit and Loss'!N1</f>
        <v>1Q15</v>
      </c>
      <c r="O1" s="509" t="str">
        <f>'Reported Group Profit and Loss'!O1</f>
        <v>2Q15</v>
      </c>
      <c r="P1" s="509" t="str">
        <f>'Reported Group Profit and Loss'!P1</f>
        <v>3Q15</v>
      </c>
      <c r="Q1" s="509" t="str">
        <f>'Reported Group Profit and Loss'!Q1</f>
        <v>4Q15</v>
      </c>
      <c r="R1" s="509" t="str">
        <f>'Reported Group Profit and Loss'!R1</f>
        <v>1Q16</v>
      </c>
      <c r="S1" s="509" t="str">
        <f>'Reported Group Profit and Loss'!S1</f>
        <v>2Q16</v>
      </c>
      <c r="T1" s="509" t="str">
        <f>'Reported Group Profit and Loss'!T1</f>
        <v>3Q16</v>
      </c>
      <c r="U1" s="509" t="str">
        <f>'Reported Group Profit and Loss'!U1</f>
        <v>4Q16</v>
      </c>
      <c r="V1" s="509" t="str">
        <f>'Reported Group Profit and Loss'!V1</f>
        <v>1Q17</v>
      </c>
      <c r="W1" s="509" t="str">
        <f>'Reported Group Profit and Loss'!W1</f>
        <v>2Q17</v>
      </c>
      <c r="X1" s="509" t="str">
        <f>'Reported Group Profit and Loss'!X1</f>
        <v>3Q17</v>
      </c>
      <c r="Y1" s="509" t="str">
        <f>'Reported Group Profit and Loss'!Y1</f>
        <v>4Q17</v>
      </c>
      <c r="Z1" s="509" t="str">
        <f>'Reported Group Profit and Loss'!Z1</f>
        <v>1Q18</v>
      </c>
      <c r="AA1" s="509" t="str">
        <f>'Reported Group Profit and Loss'!AA1</f>
        <v>2Q18</v>
      </c>
      <c r="AB1" s="509" t="str">
        <f>'Reported Group Profit and Loss'!AB1</f>
        <v>3Q18</v>
      </c>
      <c r="AC1" s="509" t="str">
        <f>'Reported Group Profit and Loss'!AC1</f>
        <v>4Q18</v>
      </c>
      <c r="AD1" s="509" t="str">
        <f>'Reported Group Profit and Loss'!AD1</f>
        <v>1Q19</v>
      </c>
      <c r="AE1" s="509" t="str">
        <f>'Reported Group Profit and Loss'!AE1</f>
        <v>2Q19</v>
      </c>
      <c r="AF1" s="509" t="str">
        <f>'Reported Group Profit and Loss'!AF1</f>
        <v>3Q19</v>
      </c>
      <c r="AG1" s="509" t="str">
        <f>'Reported Group Profit and Loss'!AG1</f>
        <v>4Q19</v>
      </c>
      <c r="AH1" s="509" t="str">
        <f>'Reported Group Profit and Loss'!AH1</f>
        <v>1Q20</v>
      </c>
      <c r="AI1" s="509" t="str">
        <f>'Reported Group Profit and Loss'!AI1</f>
        <v>2Q20</v>
      </c>
      <c r="AJ1" s="509" t="str">
        <f>'Reported Group Profit and Loss'!AJ1</f>
        <v>3Q20</v>
      </c>
      <c r="AK1" s="509" t="str">
        <f>'Reported Group Profit and Loss'!AK1</f>
        <v>4Q20</v>
      </c>
      <c r="AL1" s="509" t="str">
        <f>'Reported Group Profit and Loss'!AL1</f>
        <v>1Q21</v>
      </c>
      <c r="AM1" s="509" t="str">
        <f>'Reported Group Profit and Loss'!AM1</f>
        <v>2Q21</v>
      </c>
      <c r="AN1" s="509" t="str">
        <f>'Reported Group Profit and Loss'!AN1</f>
        <v>3Q21</v>
      </c>
      <c r="AO1" s="509" t="str">
        <f>'Reported Group Profit and Loss'!AO1</f>
        <v>4Q21</v>
      </c>
      <c r="AP1" s="509" t="str">
        <f>'Reported Group Profit and Loss'!AP1</f>
        <v>1Q22</v>
      </c>
      <c r="AQ1" s="509" t="str">
        <f>'Reported Group Profit and Loss'!AQ1</f>
        <v>2Q22</v>
      </c>
      <c r="AR1" s="509" t="str">
        <f>'Reported Group Profit and Loss'!AR1</f>
        <v>3Q22</v>
      </c>
      <c r="AS1" s="509" t="str">
        <f>'Reported Group Profit and Loss'!AS1</f>
        <v>4Q22</v>
      </c>
      <c r="AT1" s="509" t="str">
        <f>'Reported Group Profit and Loss'!AT1</f>
        <v>1Q23</v>
      </c>
      <c r="AU1" s="509" t="str">
        <f>'Reported Group Profit and Loss'!AU1</f>
        <v>2Q23</v>
      </c>
      <c r="AV1" s="509" t="str">
        <f>'Reported Group Profit and Loss'!AV1</f>
        <v>3Q23</v>
      </c>
      <c r="AW1" s="509" t="str">
        <f>'Reported Group Profit and Loss'!AW1</f>
        <v>4Q23</v>
      </c>
      <c r="AX1" s="509" t="str">
        <f>'Reported Group Profit and Loss'!AX1</f>
        <v>1Q24</v>
      </c>
      <c r="AY1" s="509" t="str">
        <f>'Reported Group Profit and Loss'!AY1</f>
        <v>2Q24</v>
      </c>
      <c r="AZ1" s="509" t="str">
        <f>'Reported Group Profit and Loss'!AZ1</f>
        <v>3Q24</v>
      </c>
      <c r="BA1" s="509" t="str">
        <f>'Reported Group Profit and Loss'!BA1</f>
        <v>4Q24</v>
      </c>
      <c r="BB1" s="509" t="str">
        <f>'Reported Group Profit and Loss'!BB1</f>
        <v>1Q25</v>
      </c>
      <c r="BC1" s="509" t="str">
        <f>'Reported Group Profit and Loss'!BC1</f>
        <v>2Q25</v>
      </c>
      <c r="BD1" s="508"/>
      <c r="BE1" s="508" t="s">
        <v>209</v>
      </c>
      <c r="BF1" s="13"/>
      <c r="BG1" s="143" t="s">
        <v>607</v>
      </c>
      <c r="BH1" s="143" t="s">
        <v>613</v>
      </c>
      <c r="BI1" s="13"/>
      <c r="BJ1" s="143" t="s">
        <v>607</v>
      </c>
      <c r="BK1" s="143" t="s">
        <v>607</v>
      </c>
      <c r="BL1" s="143" t="s">
        <v>607</v>
      </c>
      <c r="BM1" s="13"/>
      <c r="BN1" s="13" t="s">
        <v>610</v>
      </c>
      <c r="BO1" s="13"/>
      <c r="BP1" s="13" t="s">
        <v>611</v>
      </c>
      <c r="BQ1" s="13"/>
      <c r="BR1" s="13"/>
      <c r="BS1" s="13" t="s">
        <v>611</v>
      </c>
      <c r="BT1" s="13"/>
      <c r="BU1" s="13"/>
      <c r="BV1" s="13"/>
      <c r="BW1" s="13"/>
      <c r="BX1" s="13"/>
      <c r="BY1" s="13"/>
      <c r="BZ1" s="13"/>
    </row>
    <row r="2" spans="1:95" s="30" customFormat="1">
      <c r="A2" s="508" t="s">
        <v>410</v>
      </c>
      <c r="B2" s="509"/>
      <c r="C2" s="509"/>
      <c r="D2" s="509"/>
      <c r="E2" s="517">
        <v>40999</v>
      </c>
      <c r="F2" s="517">
        <f>EOMONTH(E2,3)</f>
        <v>41090</v>
      </c>
      <c r="G2" s="517">
        <f t="shared" ref="G2:AY2" si="0">EOMONTH(F2,3)</f>
        <v>41182</v>
      </c>
      <c r="H2" s="517">
        <f t="shared" si="0"/>
        <v>41274</v>
      </c>
      <c r="I2" s="517">
        <f t="shared" si="0"/>
        <v>41364</v>
      </c>
      <c r="J2" s="517">
        <f t="shared" si="0"/>
        <v>41455</v>
      </c>
      <c r="K2" s="517">
        <f t="shared" si="0"/>
        <v>41547</v>
      </c>
      <c r="L2" s="517">
        <f t="shared" si="0"/>
        <v>41639</v>
      </c>
      <c r="M2" s="517">
        <f t="shared" si="0"/>
        <v>41729</v>
      </c>
      <c r="N2" s="517">
        <f t="shared" si="0"/>
        <v>41820</v>
      </c>
      <c r="O2" s="517">
        <f t="shared" si="0"/>
        <v>41912</v>
      </c>
      <c r="P2" s="517">
        <f t="shared" si="0"/>
        <v>42004</v>
      </c>
      <c r="Q2" s="517">
        <f t="shared" si="0"/>
        <v>42094</v>
      </c>
      <c r="R2" s="517">
        <f t="shared" si="0"/>
        <v>42185</v>
      </c>
      <c r="S2" s="517">
        <f t="shared" si="0"/>
        <v>42277</v>
      </c>
      <c r="T2" s="517">
        <f t="shared" si="0"/>
        <v>42369</v>
      </c>
      <c r="U2" s="517">
        <f t="shared" si="0"/>
        <v>42460</v>
      </c>
      <c r="V2" s="517">
        <f t="shared" si="0"/>
        <v>42551</v>
      </c>
      <c r="W2" s="517">
        <f t="shared" si="0"/>
        <v>42643</v>
      </c>
      <c r="X2" s="517">
        <f t="shared" si="0"/>
        <v>42735</v>
      </c>
      <c r="Y2" s="517">
        <f t="shared" si="0"/>
        <v>42825</v>
      </c>
      <c r="Z2" s="517">
        <f t="shared" si="0"/>
        <v>42916</v>
      </c>
      <c r="AA2" s="517">
        <f t="shared" si="0"/>
        <v>43008</v>
      </c>
      <c r="AB2" s="517">
        <f t="shared" si="0"/>
        <v>43100</v>
      </c>
      <c r="AC2" s="517">
        <f t="shared" si="0"/>
        <v>43190</v>
      </c>
      <c r="AD2" s="517">
        <f t="shared" si="0"/>
        <v>43281</v>
      </c>
      <c r="AE2" s="517">
        <f t="shared" si="0"/>
        <v>43373</v>
      </c>
      <c r="AF2" s="517">
        <f t="shared" si="0"/>
        <v>43465</v>
      </c>
      <c r="AG2" s="517">
        <f t="shared" si="0"/>
        <v>43555</v>
      </c>
      <c r="AH2" s="517">
        <f t="shared" si="0"/>
        <v>43646</v>
      </c>
      <c r="AI2" s="517">
        <f t="shared" si="0"/>
        <v>43738</v>
      </c>
      <c r="AJ2" s="517">
        <f t="shared" si="0"/>
        <v>43830</v>
      </c>
      <c r="AK2" s="517">
        <f t="shared" si="0"/>
        <v>43921</v>
      </c>
      <c r="AL2" s="517">
        <f t="shared" si="0"/>
        <v>44012</v>
      </c>
      <c r="AM2" s="517">
        <f t="shared" si="0"/>
        <v>44104</v>
      </c>
      <c r="AN2" s="517">
        <f t="shared" si="0"/>
        <v>44196</v>
      </c>
      <c r="AO2" s="517">
        <f t="shared" si="0"/>
        <v>44286</v>
      </c>
      <c r="AP2" s="517">
        <f t="shared" si="0"/>
        <v>44377</v>
      </c>
      <c r="AQ2" s="517">
        <f t="shared" si="0"/>
        <v>44469</v>
      </c>
      <c r="AR2" s="517">
        <f t="shared" si="0"/>
        <v>44561</v>
      </c>
      <c r="AS2" s="517">
        <f t="shared" si="0"/>
        <v>44651</v>
      </c>
      <c r="AT2" s="517">
        <f t="shared" si="0"/>
        <v>44742</v>
      </c>
      <c r="AU2" s="517">
        <f t="shared" si="0"/>
        <v>44834</v>
      </c>
      <c r="AV2" s="517">
        <f t="shared" si="0"/>
        <v>44926</v>
      </c>
      <c r="AW2" s="517">
        <f t="shared" si="0"/>
        <v>45016</v>
      </c>
      <c r="AX2" s="517">
        <f t="shared" si="0"/>
        <v>45107</v>
      </c>
      <c r="AY2" s="517">
        <f t="shared" si="0"/>
        <v>45199</v>
      </c>
      <c r="AZ2" s="517">
        <f t="shared" ref="AZ2:BC2" si="1">EOMONTH(AY2,3)</f>
        <v>45291</v>
      </c>
      <c r="BA2" s="517">
        <f t="shared" si="1"/>
        <v>45382</v>
      </c>
      <c r="BB2" s="517">
        <f t="shared" si="1"/>
        <v>45473</v>
      </c>
      <c r="BC2" s="517">
        <f t="shared" si="1"/>
        <v>45565</v>
      </c>
      <c r="BD2" s="508"/>
      <c r="BE2" s="508"/>
      <c r="BF2" s="13"/>
      <c r="BG2" s="13"/>
      <c r="BH2" s="13"/>
      <c r="BI2" s="13"/>
      <c r="BJ2" s="143" t="s">
        <v>609</v>
      </c>
      <c r="BK2" s="143" t="s">
        <v>608</v>
      </c>
      <c r="BL2" s="143" t="s">
        <v>613</v>
      </c>
      <c r="BM2" s="13"/>
      <c r="BN2" s="143" t="s">
        <v>608</v>
      </c>
      <c r="BO2" s="143"/>
      <c r="BP2" s="143" t="s">
        <v>608</v>
      </c>
      <c r="BQ2" s="13"/>
      <c r="BR2" s="13"/>
      <c r="BS2" s="143" t="s">
        <v>612</v>
      </c>
      <c r="BT2" s="13"/>
      <c r="BU2" s="13"/>
      <c r="BV2" s="13"/>
      <c r="BW2" s="13"/>
      <c r="BX2" s="13"/>
      <c r="BY2" s="13"/>
      <c r="BZ2" s="13"/>
    </row>
    <row r="3" spans="1:95" s="30" customFormat="1">
      <c r="A3" s="13" t="s">
        <v>23</v>
      </c>
      <c r="B3" s="177"/>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1"/>
      <c r="AE3" s="177"/>
      <c r="AF3" s="171"/>
      <c r="AG3" s="177"/>
      <c r="AH3" s="177"/>
      <c r="AI3" s="177"/>
      <c r="AJ3" s="177"/>
      <c r="AK3" s="177"/>
      <c r="AL3" s="177"/>
      <c r="AM3" s="177"/>
      <c r="AN3" s="177"/>
      <c r="AO3" s="177"/>
      <c r="AP3" s="177"/>
      <c r="AQ3" s="177"/>
      <c r="AR3" s="177"/>
      <c r="AS3" s="177"/>
      <c r="AT3" s="177"/>
      <c r="AU3" s="177"/>
      <c r="AV3" s="177"/>
      <c r="AW3" s="177"/>
      <c r="AX3" s="177"/>
      <c r="AY3" s="177"/>
      <c r="AZ3" s="177"/>
      <c r="BA3" s="177"/>
      <c r="BB3" s="177"/>
      <c r="BC3" s="177"/>
      <c r="BD3" s="13"/>
      <c r="BE3" s="13"/>
      <c r="BF3" s="13"/>
      <c r="BG3" s="13"/>
      <c r="BH3" s="13"/>
      <c r="BI3" s="13"/>
      <c r="BJ3" s="143"/>
      <c r="BK3" s="143"/>
      <c r="BL3" s="143"/>
      <c r="BM3" s="13"/>
      <c r="BN3" s="13"/>
      <c r="BO3" s="13"/>
      <c r="BP3" s="13"/>
      <c r="BQ3" s="13"/>
      <c r="BR3" s="13"/>
      <c r="BS3" s="13"/>
      <c r="BT3" s="13"/>
      <c r="BU3" s="13"/>
      <c r="BV3" s="13"/>
      <c r="BW3" s="13"/>
      <c r="BX3" s="13"/>
      <c r="BY3" s="13"/>
      <c r="BZ3" s="13"/>
    </row>
    <row r="4" spans="1:95">
      <c r="A4" s="2" t="s">
        <v>28</v>
      </c>
      <c r="B4" s="178">
        <f>'Domestic Mobile Financials'!B4</f>
        <v>98404</v>
      </c>
      <c r="C4" s="178">
        <f>'Domestic Mobile Financials'!C4</f>
        <v>97827</v>
      </c>
      <c r="D4" s="178">
        <f>'Domestic Mobile Financials'!D4</f>
        <v>101764</v>
      </c>
      <c r="E4" s="178">
        <f>'Domestic Mobile Financials'!E4</f>
        <v>105096</v>
      </c>
      <c r="F4" s="178">
        <f>'Domestic Mobile Financials'!F4</f>
        <v>104635</v>
      </c>
      <c r="G4" s="178">
        <f>'Domestic Mobile Financials'!G4</f>
        <v>108906</v>
      </c>
      <c r="H4" s="178">
        <f>'Domestic Mobile Financials'!H4</f>
        <v>106994</v>
      </c>
      <c r="I4" s="178">
        <f>'Domestic Mobile Financials'!I4</f>
        <v>110173</v>
      </c>
      <c r="J4" s="178">
        <f>'Domestic Mobile Financials'!J4</f>
        <v>116013.32554799999</v>
      </c>
      <c r="K4" s="178">
        <f>'Domestic Mobile Financials'!K4</f>
        <v>113540.81433600001</v>
      </c>
      <c r="L4" s="178">
        <f>'Domestic Mobile Financials'!L4</f>
        <v>116445.63747899997</v>
      </c>
      <c r="M4" s="178">
        <f>'Domestic Mobile Financials'!M4</f>
        <v>120835.80590200005</v>
      </c>
      <c r="N4" s="178">
        <f>'Domestic Mobile Financials'!N4</f>
        <v>127524.974263</v>
      </c>
      <c r="O4" s="178">
        <f>'Domestic Mobile Financials'!O4</f>
        <v>126341.71484499999</v>
      </c>
      <c r="P4" s="178">
        <f>'Domestic Mobile Financials'!P4</f>
        <v>131634.53295000002</v>
      </c>
      <c r="Q4" s="178">
        <f>'Domestic Mobile Financials'!Q4</f>
        <v>134134.76076799998</v>
      </c>
      <c r="R4" s="178">
        <f>'Domestic Mobile Financials'!R4</f>
        <v>137986.81078200002</v>
      </c>
      <c r="S4" s="178">
        <f>'Domestic Mobile Financials'!S4</f>
        <v>136555.88247999997</v>
      </c>
      <c r="T4" s="178">
        <f>'Domestic Mobile Financials'!T4</f>
        <v>139750.41863999999</v>
      </c>
      <c r="U4" s="178">
        <f>'Domestic Mobile Financials'!U4</f>
        <v>146525.16194700002</v>
      </c>
      <c r="V4" s="178">
        <f>'Domestic Mobile Financials'!V4</f>
        <v>150525.824448</v>
      </c>
      <c r="W4" s="168">
        <f>'Domestic Mobile Financials'!W4</f>
        <v>147243.01272699996</v>
      </c>
      <c r="X4" s="168">
        <f>'Domestic Mobile Financials'!X4</f>
        <v>138129.62470500005</v>
      </c>
      <c r="Y4" s="168">
        <f>'Domestic Mobile Financials'!Y4</f>
        <v>129718.05126499999</v>
      </c>
      <c r="Z4" s="168">
        <f>'Domestic Mobile Financials'!Z4</f>
        <v>129147</v>
      </c>
      <c r="AA4" s="168">
        <f>'Domestic Mobile Financials'!AA4</f>
        <v>122450</v>
      </c>
      <c r="AB4" s="168">
        <f>'Domestic Mobile Financials'!AB4</f>
        <v>107510.397343</v>
      </c>
      <c r="AC4" s="168">
        <f>'Domestic Mobile Financials'!AC4</f>
        <v>103532.13564700008</v>
      </c>
      <c r="AD4" s="168">
        <f>'Domestic Mobile Financials'!AD4</f>
        <v>104803.372189</v>
      </c>
      <c r="AE4" s="168">
        <f>'Domestic Mobile Financials'!AE4</f>
        <v>102521.19872900001</v>
      </c>
      <c r="AF4" s="168">
        <f>'Domestic Mobile Financials'!AF4</f>
        <v>101893.78246699997</v>
      </c>
      <c r="AG4" s="168">
        <f>'Domestic Mobile Financials'!AG4</f>
        <v>106322.38429300005</v>
      </c>
      <c r="AH4" s="168">
        <f>'Domestic Mobile Financials'!AH4</f>
        <v>108667.339108</v>
      </c>
      <c r="AI4" s="168">
        <f>'Domestic Mobile Financials'!AI4</f>
        <v>109814</v>
      </c>
      <c r="AJ4" s="168">
        <f>'Domestic Mobile Financials'!AJ4</f>
        <v>111652.89238099997</v>
      </c>
      <c r="AK4" s="168">
        <f>'Domestic Mobile Financials'!AK4</f>
        <v>129528.76147499999</v>
      </c>
      <c r="AL4" s="168">
        <f>'Domestic Mobile Financials'!AL4</f>
        <v>128771.034046</v>
      </c>
      <c r="AM4" s="168">
        <f>'Domestic Mobile Financials'!AM4</f>
        <v>138319.26007099997</v>
      </c>
      <c r="AN4" s="168">
        <f>'Domestic Mobile Financials'!AN4</f>
        <v>147789.157779</v>
      </c>
      <c r="AO4" s="168">
        <f>'Domestic Mobile Financials'!AO4</f>
        <v>140796.52852500009</v>
      </c>
      <c r="AP4" s="168">
        <f>'Domestic Mobile Financials'!AP4</f>
        <v>143055.61118499999</v>
      </c>
      <c r="AQ4" s="168">
        <f>'Domestic Mobile Financials'!AQ4</f>
        <v>151914</v>
      </c>
      <c r="AR4" s="168">
        <f>'Domestic Mobile Financials'!AR4</f>
        <v>160173.31711710998</v>
      </c>
      <c r="AS4" s="168">
        <f>'Domestic Mobile Financials'!AS4</f>
        <v>175262.06535446507</v>
      </c>
      <c r="AT4" s="168">
        <f>'Domestic Mobile Financials'!AT4</f>
        <v>181404.25125552001</v>
      </c>
      <c r="AU4" s="168">
        <f>'Domestic Mobile Financials'!AU4</f>
        <v>188822.59666189004</v>
      </c>
      <c r="AV4" s="168">
        <f>'Domestic Mobile Financials'!AV4</f>
        <v>193526.52150788001</v>
      </c>
      <c r="AW4" s="168">
        <f>'Domestic Mobile Financials'!AW4</f>
        <v>195492.58361471014</v>
      </c>
      <c r="AX4" s="168">
        <f>'Domestic Mobile Financials'!AX4</f>
        <v>203924.44172899998</v>
      </c>
      <c r="AY4" s="168">
        <f>'Domestic Mobile Financials'!AY4</f>
        <v>209520.93762199997</v>
      </c>
      <c r="AZ4" s="168">
        <f>'Domestic Mobile Financials'!AZ4</f>
        <v>216385.55117799997</v>
      </c>
      <c r="BA4" s="168">
        <f>'Domestic Mobile Financials'!BA4</f>
        <v>220656.78353400007</v>
      </c>
      <c r="BB4" s="168">
        <f>'Domestic Mobile Financials'!BB4</f>
        <v>225274.4</v>
      </c>
      <c r="BC4" s="168">
        <f>'Domestic Mobile Financials'!BC4</f>
        <v>248371</v>
      </c>
      <c r="BD4" s="16"/>
      <c r="BE4" s="16"/>
      <c r="BF4" s="91"/>
      <c r="BG4" s="2"/>
      <c r="BH4" s="2"/>
      <c r="BI4" s="2"/>
      <c r="BJ4" s="85"/>
      <c r="BK4" s="85"/>
      <c r="BL4" s="85"/>
      <c r="BM4" s="2"/>
      <c r="BN4" s="2"/>
      <c r="BO4" s="2"/>
      <c r="BP4" s="2"/>
      <c r="BQ4" s="2"/>
      <c r="BR4" s="2"/>
      <c r="BS4" s="168">
        <v>115362</v>
      </c>
      <c r="BT4" s="104">
        <f>BS4-AJ4</f>
        <v>3709.1076190000313</v>
      </c>
      <c r="BU4" s="2"/>
      <c r="BV4" s="2"/>
      <c r="BW4" s="2"/>
      <c r="BZ4" s="4">
        <f>(AS4-AO4)/(AS$13-AO$13)</f>
        <v>0.59908807282226628</v>
      </c>
      <c r="CA4" s="4">
        <f>(AT4-AP4)/(AT$13-AP$13)</f>
        <v>0.64440665552881904</v>
      </c>
      <c r="CB4" s="4">
        <f>(AU4-AQ4)/(AU$13-AQ$13)</f>
        <v>0.59526154218905303</v>
      </c>
      <c r="CC4" s="4">
        <f>(AV4-AR4)/(AV$13-AR$13)</f>
        <v>0.5617097980863287</v>
      </c>
      <c r="CD4" s="4">
        <f>(AW4-AS4)/(AW$13-AS$13)</f>
        <v>0.44869958658249753</v>
      </c>
      <c r="CH4" s="74">
        <f>SUM(AT4:AW4)</f>
        <v>759245.95304000017</v>
      </c>
      <c r="CI4" s="12">
        <f t="shared" ref="CI4:CI13" si="2">AW4/AS4-1</f>
        <v>0.11543010302502776</v>
      </c>
      <c r="CJ4" s="12">
        <f t="shared" ref="CJ4:CJ13" si="3">AX4/AT4-1</f>
        <v>0.12414367534175796</v>
      </c>
      <c r="CK4" s="12">
        <f t="shared" ref="CK4:CK13" si="4">AY4/AU4-1</f>
        <v>0.10961792352200739</v>
      </c>
    </row>
    <row r="5" spans="1:95">
      <c r="A5" s="2" t="s">
        <v>29</v>
      </c>
      <c r="B5" s="179">
        <f>'Other India financials'!B6</f>
        <v>9457</v>
      </c>
      <c r="C5" s="179">
        <f>'Other India financials'!C6</f>
        <v>9528</v>
      </c>
      <c r="D5" s="179">
        <f>'Other India financials'!D6</f>
        <v>9128</v>
      </c>
      <c r="E5" s="179">
        <f>'Other India financials'!E6</f>
        <v>9158.8716390000009</v>
      </c>
      <c r="F5" s="179">
        <f>'Other India financials'!F6</f>
        <v>9441.5940649999993</v>
      </c>
      <c r="G5" s="179">
        <f>'Other India financials'!G6</f>
        <v>9529.3887610000002</v>
      </c>
      <c r="H5" s="179">
        <f>'Other India financials'!H6</f>
        <v>9565.6695649999965</v>
      </c>
      <c r="I5" s="179">
        <f>'Other India financials'!I6</f>
        <v>9620.6919140000045</v>
      </c>
      <c r="J5" s="179">
        <f>'Other India financials'!J6</f>
        <v>9483.5699540000005</v>
      </c>
      <c r="K5" s="179">
        <f>'Other India financials'!K6</f>
        <v>9756.826189999998</v>
      </c>
      <c r="L5" s="179">
        <f>'Other India financials'!L6</f>
        <v>9869.3760700000039</v>
      </c>
      <c r="M5" s="179">
        <f>'Other India financials'!M6</f>
        <v>10242.137607999995</v>
      </c>
      <c r="N5" s="179">
        <f>'Other India financials'!N6</f>
        <v>10705.123781</v>
      </c>
      <c r="O5" s="179">
        <f>'Other India financials'!O6</f>
        <v>11160.21665</v>
      </c>
      <c r="P5" s="179">
        <f>'Other India financials'!P6</f>
        <v>11170.933230999997</v>
      </c>
      <c r="Q5" s="179">
        <f>'Other India financials'!Q6</f>
        <v>11288.243410000005</v>
      </c>
      <c r="R5" s="179">
        <f>'Other India financials'!R6</f>
        <v>5987.0030560000005</v>
      </c>
      <c r="S5" s="179">
        <f>'Other India financials'!S6</f>
        <v>6149.1986480000005</v>
      </c>
      <c r="T5" s="179">
        <f>'Other India financials'!T6</f>
        <v>6342.7955119999979</v>
      </c>
      <c r="U5" s="179">
        <f>'Other India financials'!U6</f>
        <v>6587.2543320000013</v>
      </c>
      <c r="V5" s="179">
        <f>'Other India financials'!V6</f>
        <v>6644.0226409999996</v>
      </c>
      <c r="W5" s="179">
        <f>'Other India financials'!W6</f>
        <v>7063.1588700000011</v>
      </c>
      <c r="X5" s="179">
        <f>'Other India financials'!X6</f>
        <v>7025.4571049999995</v>
      </c>
      <c r="Y5" s="179">
        <f>'Other India financials'!Y6</f>
        <v>6785.0173500000037</v>
      </c>
      <c r="Z5" s="179">
        <f>'Other India financials'!Z6</f>
        <v>6703.4411549999995</v>
      </c>
      <c r="AA5" s="179">
        <f>'Other India financials'!AA6</f>
        <v>6367</v>
      </c>
      <c r="AB5" s="179">
        <f>'Other India financials'!AB6</f>
        <v>6152.7651580000029</v>
      </c>
      <c r="AC5" s="179">
        <f>'Other India financials'!AC6</f>
        <v>6041.5554939999975</v>
      </c>
      <c r="AD5" s="169">
        <f>'Other India financials'!AD6</f>
        <v>5744.8565520000002</v>
      </c>
      <c r="AE5" s="178">
        <f>'Other India financials'!AE6</f>
        <v>5607.2733760000001</v>
      </c>
      <c r="AF5" s="168">
        <f>'Other India financials'!AF6</f>
        <v>5502.8459069999999</v>
      </c>
      <c r="AG5" s="168">
        <f>'Other India financials'!AG6</f>
        <v>5535.5992989999986</v>
      </c>
      <c r="AH5" s="168">
        <f>'Other India financials'!AH6</f>
        <v>5704.7095660000005</v>
      </c>
      <c r="AI5" s="168">
        <f>'Other India financials'!AI6</f>
        <v>5475</v>
      </c>
      <c r="AJ5" s="168">
        <f>'Other India financials'!AJ6</f>
        <v>5546.3759500000024</v>
      </c>
      <c r="AK5" s="168">
        <f>'Other India financials'!AK6</f>
        <v>5725.1100410000008</v>
      </c>
      <c r="AL5" s="168">
        <f>'Other India financials'!AL6</f>
        <v>5785.6427860000003</v>
      </c>
      <c r="AM5" s="168">
        <f>'Other India financials'!AM6</f>
        <v>5873.4223299999994</v>
      </c>
      <c r="AN5" s="168">
        <f>'Other India financials'!AN6</f>
        <v>5673.778941999999</v>
      </c>
      <c r="AO5" s="168">
        <f>'Other India financials'!AO6</f>
        <v>6009.0889880000013</v>
      </c>
      <c r="AP5" s="168">
        <f>'Other India financials'!AP6</f>
        <v>6532.6126100000001</v>
      </c>
      <c r="AQ5" s="168">
        <f>'Other India financials'!AQ6</f>
        <v>7127</v>
      </c>
      <c r="AR5" s="168">
        <f>'Other India financials'!AR6</f>
        <v>7968.7393219999976</v>
      </c>
      <c r="AS5" s="168">
        <f>'Other India financials'!AS6</f>
        <v>8762.0578490000007</v>
      </c>
      <c r="AT5" s="168">
        <f>'Other India financials'!AT6</f>
        <v>9264.5887449999991</v>
      </c>
      <c r="AU5" s="168">
        <f>'Other India financials'!AU6</f>
        <v>9898.4133410000031</v>
      </c>
      <c r="AV5" s="168">
        <f>'Other India financials'!AV6</f>
        <v>10343.149191</v>
      </c>
      <c r="AW5" s="168">
        <f>'Other India financials'!AW6</f>
        <v>10965.960542999997</v>
      </c>
      <c r="AX5" s="168">
        <f>'Other India financials'!AX6</f>
        <v>11620.918957</v>
      </c>
      <c r="AY5" s="168">
        <f>'Other India financials'!AY6</f>
        <v>12207.437658000001</v>
      </c>
      <c r="AZ5" s="168">
        <f>'Other India financials'!AZ6</f>
        <v>12718.116070999999</v>
      </c>
      <c r="BA5" s="168">
        <f>'Other India financials'!BA6</f>
        <v>13155.006759000004</v>
      </c>
      <c r="BB5" s="168">
        <f>'Other India financials'!BB6</f>
        <v>13670</v>
      </c>
      <c r="BC5" s="168">
        <f>'Other India financials'!BC6</f>
        <v>14321</v>
      </c>
      <c r="BD5" s="2"/>
      <c r="BE5" s="13"/>
      <c r="BF5" s="2"/>
      <c r="BG5" s="2"/>
      <c r="BH5" s="2"/>
      <c r="BI5" s="2"/>
      <c r="BJ5" s="85"/>
      <c r="BK5" s="85"/>
      <c r="BL5" s="85"/>
      <c r="BM5" s="2"/>
      <c r="BN5" s="2"/>
      <c r="BO5" s="2"/>
      <c r="BP5" s="2"/>
      <c r="BQ5" s="2"/>
      <c r="BR5" s="2"/>
      <c r="BS5" s="2"/>
      <c r="BT5" s="2"/>
      <c r="BU5" s="2"/>
      <c r="BV5" s="2"/>
      <c r="BW5" s="2"/>
      <c r="BZ5" s="4">
        <f>(AS5-AO5)/(AS$13-AO$13)</f>
        <v>4.7852752668173119E-2</v>
      </c>
      <c r="CA5" s="4">
        <f>(AT5-AP5)/(AT$13-AP$13)</f>
        <v>4.590784968912786E-2</v>
      </c>
      <c r="CB5" s="4">
        <f>(AU5-AQ5)/(AU$13-AQ$13)</f>
        <v>4.4697331478614336E-2</v>
      </c>
      <c r="CC5" s="4">
        <f>(AV5-AR5)/(AV$13-AR$13)</f>
        <v>3.9988040503216728E-2</v>
      </c>
      <c r="CD5" s="4">
        <f>(AW5-AS5)/(AW$13-AS$13)</f>
        <v>4.8881111939139812E-2</v>
      </c>
      <c r="CH5" s="74">
        <f t="shared" ref="CH5:CH13" si="5">SUM(AT5:AW5)</f>
        <v>40472.111819999998</v>
      </c>
      <c r="CI5" s="12">
        <f t="shared" si="2"/>
        <v>0.25152797801392346</v>
      </c>
      <c r="CJ5" s="12">
        <f t="shared" si="3"/>
        <v>0.25433727031560771</v>
      </c>
      <c r="CK5" s="12">
        <f t="shared" si="4"/>
        <v>0.23327216569506537</v>
      </c>
    </row>
    <row r="6" spans="1:95">
      <c r="A6" s="2" t="s">
        <v>30</v>
      </c>
      <c r="B6" s="179">
        <f>'Other India financials'!B15</f>
        <v>2934</v>
      </c>
      <c r="C6" s="179">
        <f>'Other India financials'!C15</f>
        <v>3135</v>
      </c>
      <c r="D6" s="179">
        <f>'Other India financials'!D15</f>
        <v>3327</v>
      </c>
      <c r="E6" s="179">
        <f>'Other India financials'!E15</f>
        <v>3564.6483389999994</v>
      </c>
      <c r="F6" s="179">
        <f>'Other India financials'!F15</f>
        <v>3657.8662089999998</v>
      </c>
      <c r="G6" s="179">
        <f>'Other India financials'!G15</f>
        <v>3936.7797700000001</v>
      </c>
      <c r="H6" s="179">
        <f>'Other India financials'!H15</f>
        <v>4280.428766</v>
      </c>
      <c r="I6" s="179">
        <f>'Other India financials'!I15</f>
        <v>4419.1677200000022</v>
      </c>
      <c r="J6" s="179">
        <f>'Other India financials'!J15</f>
        <v>4899.5489070000003</v>
      </c>
      <c r="K6" s="179">
        <f>'Other India financials'!K15</f>
        <v>5071.5662709999997</v>
      </c>
      <c r="L6" s="179">
        <f>'Other India financials'!L15</f>
        <v>5384.3185450000001</v>
      </c>
      <c r="M6" s="179">
        <f>'Other India financials'!M15</f>
        <v>5415.2989529999995</v>
      </c>
      <c r="N6" s="179">
        <f>'Other India financials'!N15</f>
        <v>5914.8962629999996</v>
      </c>
      <c r="O6" s="179">
        <f>'Other India financials'!O15</f>
        <v>6263.2988660000001</v>
      </c>
      <c r="P6" s="179">
        <f>'Other India financials'!P15</f>
        <v>6233.6689279999982</v>
      </c>
      <c r="Q6" s="179">
        <f>'Other India financials'!Q15</f>
        <v>6347.5828170000013</v>
      </c>
      <c r="R6" s="179">
        <f>'Other India financials'!R15</f>
        <v>6847.5415030000004</v>
      </c>
      <c r="S6" s="179">
        <f>'Other India financials'!S15</f>
        <v>7068.4080429999995</v>
      </c>
      <c r="T6" s="179">
        <f>'Other India financials'!T15</f>
        <v>7421.6972060000007</v>
      </c>
      <c r="U6" s="179">
        <f>'Other India financials'!U15</f>
        <v>7840.0639080000001</v>
      </c>
      <c r="V6" s="179">
        <f>'Other India financials'!V15</f>
        <v>8368.8924590000006</v>
      </c>
      <c r="W6" s="179">
        <f>'Other India financials'!W15</f>
        <v>8545.3095669999984</v>
      </c>
      <c r="X6" s="179">
        <f>'Other India financials'!X15</f>
        <v>8734.7009439999983</v>
      </c>
      <c r="Y6" s="179">
        <f>'Other India financials'!Y15</f>
        <v>8657.3839450000032</v>
      </c>
      <c r="Z6" s="179">
        <f>'Other India financials'!Z15</f>
        <v>8973.6715359999998</v>
      </c>
      <c r="AA6" s="179">
        <f>'Other India financials'!AA15</f>
        <v>9369</v>
      </c>
      <c r="AB6" s="179">
        <f>'Other India financials'!AB15</f>
        <v>9642.4637969999985</v>
      </c>
      <c r="AC6" s="179">
        <f>'Other India financials'!AC15</f>
        <v>9584.8888430000025</v>
      </c>
      <c r="AD6" s="169">
        <f>'Other India financials'!AD15</f>
        <v>9924.2629930000003</v>
      </c>
      <c r="AE6" s="178">
        <f>'Other India financials'!AE15</f>
        <v>10241.891726999998</v>
      </c>
      <c r="AF6" s="168">
        <f>'Other India financials'!AF15</f>
        <v>10329.501276000003</v>
      </c>
      <c r="AG6" s="168">
        <f>'Other India financials'!AG15</f>
        <v>10505.675816999996</v>
      </c>
      <c r="AH6" s="168">
        <f>'Other India financials'!AH15</f>
        <v>7389.4105060000002</v>
      </c>
      <c r="AI6" s="168">
        <f>'Other India financials'!AI15</f>
        <v>7893</v>
      </c>
      <c r="AJ6" s="168">
        <f>'Other India financials'!AJ15</f>
        <v>7921.6576299999997</v>
      </c>
      <c r="AK6" s="168">
        <f>'Other India financials'!AK15</f>
        <v>6034.7938980000017</v>
      </c>
      <c r="AL6" s="168">
        <f>'Other India financials'!AL15</f>
        <v>7448.2672670000002</v>
      </c>
      <c r="AM6" s="168">
        <f>'Other India financials'!AM15</f>
        <v>7548.4164109999992</v>
      </c>
      <c r="AN6" s="168">
        <f>'Other India financials'!AN15</f>
        <v>7892.0325370000019</v>
      </c>
      <c r="AO6" s="168">
        <f>'Other India financials'!AO15</f>
        <v>7673.1986040000002</v>
      </c>
      <c r="AP6" s="168">
        <f>'Other India financials'!AP15</f>
        <v>8094.5149229999997</v>
      </c>
      <c r="AQ6" s="168">
        <f>'Other India financials'!AQ15</f>
        <v>7979</v>
      </c>
      <c r="AR6" s="168">
        <f>'Other India financials'!AR15</f>
        <v>7912.4453920000005</v>
      </c>
      <c r="AS6" s="168">
        <f>'Other India financials'!AS15</f>
        <v>7551.7784139999994</v>
      </c>
      <c r="AT6" s="168">
        <f>'Other India financials'!AT15</f>
        <v>7481.7754379999997</v>
      </c>
      <c r="AU6" s="168">
        <f>'Other India financials'!AU15</f>
        <v>7288.047474</v>
      </c>
      <c r="AV6" s="168">
        <f>'Other India financials'!AV15</f>
        <v>7390.2210090000017</v>
      </c>
      <c r="AW6" s="168">
        <f>'Other India financials'!AW15</f>
        <v>7290.4513539999998</v>
      </c>
      <c r="AX6" s="168">
        <f>'Other India financials'!AX15</f>
        <v>7403.2364610000004</v>
      </c>
      <c r="AY6" s="168">
        <f>'Other India financials'!AY15</f>
        <v>7514.5563480000001</v>
      </c>
      <c r="AZ6" s="168">
        <f>'Other India financials'!AZ15</f>
        <v>7837.163896</v>
      </c>
      <c r="BA6" s="168">
        <f>'Other India financials'!BA15</f>
        <v>7693.4150569999965</v>
      </c>
      <c r="BB6" s="168">
        <f>'Other India financials'!BB15</f>
        <v>7771</v>
      </c>
      <c r="BC6" s="168">
        <f>'Other India financials'!BC15</f>
        <v>7586</v>
      </c>
      <c r="BD6" s="2"/>
      <c r="BE6" s="17"/>
      <c r="BF6" s="2"/>
      <c r="BG6" s="2"/>
      <c r="BH6" s="2"/>
      <c r="BI6" s="2"/>
      <c r="BJ6" s="85"/>
      <c r="BK6" s="85"/>
      <c r="BL6" s="85"/>
      <c r="BM6" s="2"/>
      <c r="BN6" s="2"/>
      <c r="BO6" s="2"/>
      <c r="BP6" s="2"/>
      <c r="BQ6" s="2"/>
      <c r="BR6" s="2"/>
      <c r="BS6" s="2"/>
      <c r="BT6" s="2"/>
      <c r="BU6" s="104">
        <f>AK6</f>
        <v>6034.7938980000017</v>
      </c>
      <c r="BV6" s="104">
        <v>8022</v>
      </c>
      <c r="BW6" s="104">
        <f>BV6-BU6</f>
        <v>1987.2061019999983</v>
      </c>
      <c r="BZ6" s="4">
        <f>(AS6-AO6)/(AS$13-AO$13)</f>
        <v>-2.1105543194854985E-3</v>
      </c>
      <c r="CA6" s="4">
        <f>(AT6-AP6)/(AT$13-AP$13)</f>
        <v>-1.0296412115610823E-2</v>
      </c>
      <c r="CB6" s="4">
        <f>(AU6-AQ6)/(AU$13-AQ$13)</f>
        <v>-1.1143676633765564E-2</v>
      </c>
      <c r="CC6" s="4">
        <f>(AV6-AR6)/(AV$13-AR$13)</f>
        <v>-8.7949136548889969E-3</v>
      </c>
      <c r="CD6" s="4">
        <f>(AW6-AS6)/(AW$13-AS$13)</f>
        <v>-5.7960622795927789E-3</v>
      </c>
      <c r="CH6" s="74">
        <f t="shared" si="5"/>
        <v>29450.495275000001</v>
      </c>
      <c r="CI6" s="12">
        <f t="shared" si="2"/>
        <v>-3.4604704438299438E-2</v>
      </c>
      <c r="CJ6" s="12">
        <f t="shared" si="3"/>
        <v>-1.0497371599941241E-2</v>
      </c>
      <c r="CK6" s="12">
        <f t="shared" si="4"/>
        <v>3.1079500347393152E-2</v>
      </c>
    </row>
    <row r="7" spans="1:95">
      <c r="A7" s="2" t="s">
        <v>31</v>
      </c>
      <c r="B7" s="179">
        <f>'Other India financials'!B25</f>
        <v>10410</v>
      </c>
      <c r="C7" s="179">
        <f>'Other India financials'!C25</f>
        <v>11042</v>
      </c>
      <c r="D7" s="179">
        <f>'Other India financials'!D25</f>
        <v>11881</v>
      </c>
      <c r="E7" s="179">
        <f>'Other India financials'!E25</f>
        <v>11208.792946000001</v>
      </c>
      <c r="F7" s="179">
        <f>'Other India financials'!F25</f>
        <v>11905.889395</v>
      </c>
      <c r="G7" s="179">
        <f>'Other India financials'!G25</f>
        <v>13933.743948000001</v>
      </c>
      <c r="H7" s="179">
        <f>'Other India financials'!H25</f>
        <v>14219.062184</v>
      </c>
      <c r="I7" s="179">
        <f>'Other India financials'!I25</f>
        <v>13143.414496999992</v>
      </c>
      <c r="J7" s="179">
        <f>'Other India financials'!J25</f>
        <v>14036.021868</v>
      </c>
      <c r="K7" s="179">
        <f>'Other India financials'!K25</f>
        <v>16825.191813999998</v>
      </c>
      <c r="L7" s="179">
        <f>'Other India financials'!L25</f>
        <v>16195.206771000001</v>
      </c>
      <c r="M7" s="179">
        <f>'Other India financials'!M25</f>
        <v>16304.868281000006</v>
      </c>
      <c r="N7" s="179">
        <f>'Other India financials'!N25</f>
        <v>16110.559665999999</v>
      </c>
      <c r="O7" s="179">
        <f>'Other India financials'!O25</f>
        <v>17037.48027</v>
      </c>
      <c r="P7" s="179">
        <f>'Other India financials'!P25</f>
        <v>16177.253602999999</v>
      </c>
      <c r="Q7" s="179">
        <f>'Other India financials'!Q25</f>
        <v>17805.055362999999</v>
      </c>
      <c r="R7" s="179">
        <f>'Other India financials'!R25</f>
        <v>24279.813284000003</v>
      </c>
      <c r="S7" s="179">
        <f>'Other India financials'!S25</f>
        <v>25003.701047000002</v>
      </c>
      <c r="T7" s="179">
        <f>'Other India financials'!T25</f>
        <v>24043.406259999996</v>
      </c>
      <c r="U7" s="179">
        <f>'Other India financials'!U25</f>
        <v>23666.291827000015</v>
      </c>
      <c r="V7" s="179">
        <f>'Other India financials'!V25</f>
        <v>26793.237506999998</v>
      </c>
      <c r="W7" s="179">
        <f>'Other India financials'!W25</f>
        <v>29816.443298414015</v>
      </c>
      <c r="X7" s="179">
        <f>'Other India financials'!X25</f>
        <v>27050.018041204981</v>
      </c>
      <c r="Y7" s="179">
        <f>'Other India financials'!Y25</f>
        <v>25769.647827918991</v>
      </c>
      <c r="Z7" s="179">
        <f>'Other India financials'!Z25</f>
        <v>27872</v>
      </c>
      <c r="AA7" s="179">
        <f>'Other India financials'!AA25</f>
        <v>28313</v>
      </c>
      <c r="AB7" s="179">
        <f>'Other India financials'!AB25</f>
        <v>29099</v>
      </c>
      <c r="AC7" s="179">
        <f>'Other India financials'!AC25</f>
        <v>28282</v>
      </c>
      <c r="AD7" s="169">
        <f>'Other India financials'!AD25</f>
        <v>29923.388023309002</v>
      </c>
      <c r="AE7" s="178">
        <f>'Other India financials'!AE25</f>
        <v>33458.333936187002</v>
      </c>
      <c r="AF7" s="168">
        <f>'Other India financials'!AF25</f>
        <v>31116.057515754976</v>
      </c>
      <c r="AG7" s="168">
        <f>'Other India financials'!AG25</f>
        <v>30039.899712763028</v>
      </c>
      <c r="AH7" s="168">
        <f>'Other India financials'!AH25</f>
        <v>32080.417566606</v>
      </c>
      <c r="AI7" s="168">
        <f>'Other India financials'!AI25</f>
        <v>33312</v>
      </c>
      <c r="AJ7" s="168">
        <f>'Other India financials'!AJ25</f>
        <v>33176.344185077003</v>
      </c>
      <c r="AK7" s="168">
        <f>'Other India financials'!AK25</f>
        <v>33762.460538964995</v>
      </c>
      <c r="AL7" s="168">
        <f>'Other India financials'!AL25</f>
        <v>35019.394650412993</v>
      </c>
      <c r="AM7" s="168">
        <f>'Other India financials'!AM25</f>
        <v>35820.581256796992</v>
      </c>
      <c r="AN7" s="168">
        <f>'Other India financials'!AN25</f>
        <v>36214.320874482997</v>
      </c>
      <c r="AO7" s="168">
        <f>'Other India financials'!AO25</f>
        <v>37020.960182455041</v>
      </c>
      <c r="AP7" s="168">
        <f>'Other India financials'!AP25</f>
        <v>37893.218485680001</v>
      </c>
      <c r="AQ7" s="168">
        <f>'Other India financials'!AQ25</f>
        <v>39953</v>
      </c>
      <c r="AR7" s="168">
        <f>'Other India financials'!AR25</f>
        <v>41058.526125466982</v>
      </c>
      <c r="AS7" s="168">
        <f>'Other India financials'!AS25</f>
        <v>41798.319524299972</v>
      </c>
      <c r="AT7" s="168">
        <f>'Other India financials'!AT25</f>
        <v>43656.237966409004</v>
      </c>
      <c r="AU7" s="168">
        <f>'Other India financials'!AU25</f>
        <v>46645.534046103006</v>
      </c>
      <c r="AV7" s="168">
        <f>'Other India financials'!AV25</f>
        <v>47779.058184985988</v>
      </c>
      <c r="AW7" s="168">
        <f>'Other India financials'!AW25</f>
        <v>47849.530726049976</v>
      </c>
      <c r="AX7" s="168">
        <f>'Other India financials'!AX25</f>
        <v>50545.195438034993</v>
      </c>
      <c r="AY7" s="168">
        <f>'Other India financials'!AY25</f>
        <v>51100.110061839005</v>
      </c>
      <c r="AZ7" s="168">
        <f>'Other India financials'!AZ25</f>
        <v>51948.010027724027</v>
      </c>
      <c r="BA7" s="168">
        <f>'Other India financials'!BA25</f>
        <v>54616.101027068944</v>
      </c>
      <c r="BB7" s="168">
        <f>'Other India financials'!BB25</f>
        <v>54765</v>
      </c>
      <c r="BC7" s="168">
        <f>'Other India financials'!BC25</f>
        <v>56555</v>
      </c>
      <c r="BD7" s="2"/>
      <c r="BE7" s="2" t="s">
        <v>805</v>
      </c>
      <c r="BF7" s="2"/>
      <c r="BG7" s="2"/>
      <c r="BH7" s="2"/>
      <c r="BI7" s="2"/>
      <c r="BJ7" s="85"/>
      <c r="BK7" s="85"/>
      <c r="BL7" s="85"/>
      <c r="BM7" s="2"/>
      <c r="BN7" s="2"/>
      <c r="BO7" s="2"/>
      <c r="BP7" s="2"/>
      <c r="BQ7" s="2"/>
      <c r="BR7" s="2"/>
      <c r="BS7" s="2"/>
      <c r="BT7" s="2"/>
      <c r="BU7" s="104">
        <v>175540</v>
      </c>
      <c r="BV7" s="104">
        <v>177527</v>
      </c>
      <c r="BW7" s="104">
        <f>BV7-BU7</f>
        <v>1987</v>
      </c>
      <c r="BZ7" s="4">
        <f>(AS7-AO7)/(AS$13-AO$13)</f>
        <v>8.304118445758614E-2</v>
      </c>
      <c r="CA7" s="4">
        <f>(AT7-AP7)/(AT$13-AP$13)</f>
        <v>9.6841194433355787E-2</v>
      </c>
      <c r="CB7" s="4">
        <f>(AU7-AQ7)/(AU$13-AQ$13)</f>
        <v>0.10793713383173677</v>
      </c>
      <c r="CC7" s="4">
        <f>(AV7-AR7)/(AV$13-AR$13)</f>
        <v>0.11318218969178831</v>
      </c>
      <c r="CD7" s="4">
        <f>(AW7-AS7)/(AW$13-AS$13)</f>
        <v>0.13421188373034365</v>
      </c>
      <c r="CH7" s="74">
        <f t="shared" si="5"/>
        <v>185930.36092354797</v>
      </c>
      <c r="CI7" s="12">
        <f t="shared" si="2"/>
        <v>0.14477163844426943</v>
      </c>
      <c r="CJ7" s="12">
        <f t="shared" si="3"/>
        <v>0.15780007147951336</v>
      </c>
      <c r="CK7" s="12">
        <f t="shared" si="4"/>
        <v>9.5498446032008744E-2</v>
      </c>
    </row>
    <row r="8" spans="1:95">
      <c r="A8" s="2" t="s">
        <v>32</v>
      </c>
      <c r="B8" s="179">
        <f>'Other India financials'!B34</f>
        <v>22767</v>
      </c>
      <c r="C8" s="179">
        <f>'Other India financials'!C34</f>
        <v>23766</v>
      </c>
      <c r="D8" s="179">
        <f>'Other India financials'!D34</f>
        <v>24393</v>
      </c>
      <c r="E8" s="179">
        <f>'Other India financials'!E34</f>
        <v>10156.908052620001</v>
      </c>
      <c r="F8" s="179">
        <f>'Other India financials'!F34</f>
        <v>10100.342232539999</v>
      </c>
      <c r="G8" s="179">
        <f>'Other India financials'!G34</f>
        <v>10738.054208699999</v>
      </c>
      <c r="H8" s="179">
        <f>'Other India financials'!H34</f>
        <v>11067.026785919998</v>
      </c>
      <c r="I8" s="179">
        <f>'Other India financials'!I34</f>
        <v>11419.2210111</v>
      </c>
      <c r="J8" s="179">
        <f>'Other India financials'!J34</f>
        <v>12832.094338000001</v>
      </c>
      <c r="K8" s="179">
        <f>'Other India financials'!K34</f>
        <v>12602.001690999999</v>
      </c>
      <c r="L8" s="179">
        <f>'Other India financials'!L34</f>
        <v>12592.159892000005</v>
      </c>
      <c r="M8" s="179">
        <f>'Other India financials'!M34</f>
        <v>13060.38097</v>
      </c>
      <c r="N8" s="179">
        <f>'Other India financials'!N34</f>
        <v>13327.863781</v>
      </c>
      <c r="O8" s="179">
        <f>'Other India financials'!O34</f>
        <v>13743.937688999998</v>
      </c>
      <c r="P8" s="179">
        <f>'Other India financials'!P34</f>
        <v>13692.119829000003</v>
      </c>
      <c r="Q8" s="179">
        <f>'Other India financials'!Q34</f>
        <v>13517.699963999999</v>
      </c>
      <c r="R8" s="179">
        <f>'Other India financials'!R34</f>
        <v>13946.286115999999</v>
      </c>
      <c r="S8" s="179">
        <f>'Other India financials'!S34</f>
        <v>13908.117876</v>
      </c>
      <c r="T8" s="179">
        <f>'Other India financials'!T34</f>
        <v>13979.216162999999</v>
      </c>
      <c r="U8" s="179">
        <f>'Other India financials'!U34</f>
        <v>14147.919489000002</v>
      </c>
      <c r="V8" s="179">
        <f>'Other India financials'!V34</f>
        <v>14556.973023</v>
      </c>
      <c r="W8" s="179">
        <f>'Other India financials'!W34</f>
        <v>14962.475629999999</v>
      </c>
      <c r="X8" s="179">
        <f>'Other India financials'!X34</f>
        <v>15292.243836</v>
      </c>
      <c r="Y8" s="179">
        <f>'Other India financials'!Y34</f>
        <v>16017.21091</v>
      </c>
      <c r="Z8" s="179">
        <f>'Other India financials'!Z34</f>
        <v>15982.125169999999</v>
      </c>
      <c r="AA8" s="179">
        <f>'Other India financials'!AA34</f>
        <v>16613</v>
      </c>
      <c r="AB8" s="179">
        <f>'Other India financials'!AB34</f>
        <v>16949.719681000002</v>
      </c>
      <c r="AC8" s="179">
        <f>'Other India financials'!AC34</f>
        <v>16738.811307999997</v>
      </c>
      <c r="AD8" s="169">
        <f>'Other India financials'!AD34</f>
        <v>16949.453538000002</v>
      </c>
      <c r="AE8" s="178">
        <f>'Other India financials'!AE34</f>
        <v>17205.610615999998</v>
      </c>
      <c r="AF8" s="168">
        <f>'Other India financials'!AF34</f>
        <v>17325.258822000003</v>
      </c>
      <c r="AG8" s="168">
        <f>'Other India financials'!AG34</f>
        <v>16705.129039999993</v>
      </c>
      <c r="AH8" s="168">
        <f>'Other India financials'!AH34</f>
        <v>17261.687692</v>
      </c>
      <c r="AI8" s="168">
        <f>'Other India financials'!AI34</f>
        <v>16674</v>
      </c>
      <c r="AJ8" s="168">
        <f>'Other India financials'!AJ34</f>
        <v>16662.105146000002</v>
      </c>
      <c r="AK8" s="168">
        <f>'Other India financials'!AK34</f>
        <v>16825.546549999999</v>
      </c>
      <c r="AL8" s="168">
        <f>'Other India financials'!AL34</f>
        <v>16420.748175000001</v>
      </c>
      <c r="AM8" s="168">
        <f>'Other India financials'!AM34</f>
        <v>17663.259929</v>
      </c>
      <c r="AN8" s="168">
        <f>'Other India financials'!AN34</f>
        <v>0</v>
      </c>
      <c r="AO8" s="168">
        <f>'Other India financials'!AO34</f>
        <v>0</v>
      </c>
      <c r="AP8" s="168">
        <f>'Other India financials'!AP34</f>
        <v>0</v>
      </c>
      <c r="AQ8" s="168">
        <f>'Other India financials'!AQ34</f>
        <v>0</v>
      </c>
      <c r="AR8" s="168">
        <f>'Other India financials'!AR34</f>
        <v>0</v>
      </c>
      <c r="AS8" s="168">
        <f>'Other India financials'!AS34</f>
        <v>0</v>
      </c>
      <c r="AT8" s="168">
        <f>'Other India financials'!AT34</f>
        <v>0</v>
      </c>
      <c r="AU8" s="168">
        <f>'Other India financials'!AU34</f>
        <v>0</v>
      </c>
      <c r="AV8" s="168">
        <f>'Other India financials'!AV34</f>
        <v>0</v>
      </c>
      <c r="AW8" s="168">
        <f>'Other India financials'!AW34</f>
        <v>0</v>
      </c>
      <c r="AX8" s="168">
        <f>'Other India financials'!AX34</f>
        <v>0</v>
      </c>
      <c r="AY8" s="168">
        <f>'Other India financials'!AY34</f>
        <v>0</v>
      </c>
      <c r="AZ8" s="168">
        <f>'Other India financials'!AZ34</f>
        <v>0</v>
      </c>
      <c r="BA8" s="168">
        <f>'Other India financials'!BA34</f>
        <v>0</v>
      </c>
      <c r="BB8" s="168">
        <f>'Other India financials'!BB34</f>
        <v>0</v>
      </c>
      <c r="BC8" s="168">
        <f>'Other India financials'!BC34</f>
        <v>0</v>
      </c>
      <c r="BD8" s="2"/>
      <c r="BE8" s="13"/>
      <c r="BF8" s="2"/>
      <c r="BG8" s="2"/>
      <c r="BH8" s="2"/>
      <c r="BI8" s="2"/>
      <c r="BJ8" s="85"/>
      <c r="BK8" s="85"/>
      <c r="BL8" s="85"/>
      <c r="BM8" s="2"/>
      <c r="BN8" s="2"/>
      <c r="BO8" s="2"/>
      <c r="BP8" s="2"/>
      <c r="BQ8" s="2"/>
      <c r="BR8" s="2"/>
      <c r="BS8" s="2"/>
      <c r="BT8" s="2"/>
      <c r="BU8" s="2"/>
      <c r="BV8" s="104"/>
      <c r="BW8" s="2"/>
      <c r="BZ8" s="4">
        <f>(AS8-AO8)/(AS$13-AO$13)</f>
        <v>0</v>
      </c>
      <c r="CA8" s="4">
        <f>(AT8-AP8)/(AT$13-AP$13)</f>
        <v>0</v>
      </c>
      <c r="CB8" s="4">
        <f>(AU8-AQ8)/(AU$13-AQ$13)</f>
        <v>0</v>
      </c>
      <c r="CC8" s="4">
        <f>(AV8-AR8)/(AV$13-AR$13)</f>
        <v>0</v>
      </c>
      <c r="CD8" s="4">
        <f>(AW8-AS8)/(AW$13-AS$13)</f>
        <v>0</v>
      </c>
      <c r="CH8" s="74">
        <f t="shared" si="5"/>
        <v>0</v>
      </c>
      <c r="CI8" s="12" t="e">
        <f t="shared" si="2"/>
        <v>#DIV/0!</v>
      </c>
      <c r="CJ8" s="12" t="e">
        <f t="shared" si="3"/>
        <v>#DIV/0!</v>
      </c>
      <c r="CK8" s="12" t="e">
        <f t="shared" si="4"/>
        <v>#DIV/0!</v>
      </c>
    </row>
    <row r="9" spans="1:95">
      <c r="A9" s="2" t="s">
        <v>33</v>
      </c>
      <c r="B9" s="179">
        <f>'International Financials'!B5</f>
        <v>0</v>
      </c>
      <c r="C9" s="179">
        <f>'International Financials'!C5</f>
        <v>0</v>
      </c>
      <c r="D9" s="179">
        <f>'International Financials'!D5</f>
        <v>0</v>
      </c>
      <c r="E9" s="179">
        <f>'International Financials'!E5</f>
        <v>0</v>
      </c>
      <c r="F9" s="179">
        <f>'International Financials'!F5</f>
        <v>2862</v>
      </c>
      <c r="G9" s="179">
        <f>'International Financials'!G5</f>
        <v>2888.5</v>
      </c>
      <c r="H9" s="179">
        <f>'International Financials'!H5</f>
        <v>3159.5850000000005</v>
      </c>
      <c r="I9" s="179">
        <f>'International Financials'!I5</f>
        <v>3557.3999999999987</v>
      </c>
      <c r="J9" s="179">
        <f>'International Financials'!J5</f>
        <v>3912.5502120000001</v>
      </c>
      <c r="K9" s="179">
        <f>'International Financials'!K5</f>
        <v>4536.8770089999998</v>
      </c>
      <c r="L9" s="179">
        <f>'International Financials'!L5</f>
        <v>4465.6007079999999</v>
      </c>
      <c r="M9" s="179">
        <f>'International Financials'!M5</f>
        <v>4487.7197530000012</v>
      </c>
      <c r="N9" s="179">
        <f>'International Financials'!N5</f>
        <v>4370.8117480000001</v>
      </c>
      <c r="O9" s="179">
        <f>'International Financials'!O5</f>
        <v>3893.343809</v>
      </c>
      <c r="P9" s="179">
        <f>'International Financials'!P5</f>
        <v>3788.080820000001</v>
      </c>
      <c r="Q9" s="179">
        <f>'International Financials'!Q5</f>
        <v>3706.2823839999983</v>
      </c>
      <c r="R9" s="179">
        <f>'International Financials'!R5</f>
        <v>3885.6957130000001</v>
      </c>
      <c r="S9" s="179">
        <f>'International Financials'!S5</f>
        <v>4045.421343</v>
      </c>
      <c r="T9" s="179">
        <f>'International Financials'!T5</f>
        <v>4134.8333569999986</v>
      </c>
      <c r="U9" s="179">
        <f>'International Financials'!U5</f>
        <v>4387.867322000001</v>
      </c>
      <c r="V9" s="179">
        <f>'International Financials'!V5</f>
        <v>4142.901973</v>
      </c>
      <c r="W9" s="179">
        <f>'International Financials'!W5</f>
        <v>4169.3683122689999</v>
      </c>
      <c r="X9" s="179">
        <f>'International Financials'!X5</f>
        <v>2453.8504955349963</v>
      </c>
      <c r="Y9" s="179">
        <f>'International Financials'!Y5</f>
        <v>976.59419986299872</v>
      </c>
      <c r="Z9" s="179">
        <f>'International Financials'!Z5</f>
        <v>971.71580549400005</v>
      </c>
      <c r="AA9" s="179">
        <f>'International Financials'!AA5</f>
        <v>1028</v>
      </c>
      <c r="AB9" s="179">
        <f>'International Financials'!AB5</f>
        <v>1012.5216980590003</v>
      </c>
      <c r="AC9" s="179">
        <f>'International Financials'!AC5</f>
        <v>1033.1084359860001</v>
      </c>
      <c r="AD9" s="169">
        <f>'International Financials'!AD5</f>
        <v>1060.3252391279998</v>
      </c>
      <c r="AE9" s="178">
        <f>'International Financials'!AE5</f>
        <v>1122</v>
      </c>
      <c r="AF9" s="168">
        <f>'International Financials'!AF5</f>
        <v>1130.0029552169999</v>
      </c>
      <c r="AG9" s="168">
        <f>'International Financials'!AG5</f>
        <v>1124.2615708570015</v>
      </c>
      <c r="AH9" s="168">
        <f>'International Financials'!AH5</f>
        <v>1089</v>
      </c>
      <c r="AI9" s="168">
        <f>'International Financials'!AI5</f>
        <v>1106</v>
      </c>
      <c r="AJ9" s="168">
        <f>'International Financials'!AJ5</f>
        <v>1154.7463531619999</v>
      </c>
      <c r="AK9" s="168">
        <f>'International Financials'!AK5</f>
        <v>1203.096119242002</v>
      </c>
      <c r="AL9" s="168">
        <f>'International Financials'!AL5</f>
        <v>1087.516621645</v>
      </c>
      <c r="AM9" s="168">
        <f>'International Financials'!AM5</f>
        <v>1116.3075473180004</v>
      </c>
      <c r="AN9" s="168">
        <f>'International Financials'!AN5</f>
        <v>1060.6138277099997</v>
      </c>
      <c r="AO9" s="168">
        <f>'International Financials'!AO5</f>
        <v>982.30751476899945</v>
      </c>
      <c r="AP9" s="168">
        <f>'International Financials'!AP5</f>
        <v>951.57582377999995</v>
      </c>
      <c r="AQ9" s="168">
        <f>'International Financials'!AQ5</f>
        <v>957.85773911400031</v>
      </c>
      <c r="AR9" s="168">
        <f>'International Financials'!AR5</f>
        <v>975.48070332999885</v>
      </c>
      <c r="AS9" s="168">
        <f>'International Financials'!AS5</f>
        <v>984</v>
      </c>
      <c r="AT9" s="168">
        <f>'International Financials'!AT5</f>
        <v>666.88710738999998</v>
      </c>
      <c r="AU9" s="168">
        <f>'International Financials'!AU5</f>
        <v>694.67411558499884</v>
      </c>
      <c r="AV9" s="168">
        <f>'International Financials'!AV5</f>
        <v>776.55100861300139</v>
      </c>
      <c r="AW9" s="168">
        <f>'International Financials'!AW5</f>
        <v>805.59233178499903</v>
      </c>
      <c r="AX9" s="168">
        <f>'International Financials'!AX5</f>
        <v>933.71615324100003</v>
      </c>
      <c r="AY9" s="168">
        <f>'International Financials'!AY5</f>
        <v>932.81413617399994</v>
      </c>
      <c r="AZ9" s="168">
        <f>'International Financials'!AZ5</f>
        <v>945.2344450999999</v>
      </c>
      <c r="BA9" s="168">
        <f>'International Financials'!BA5</f>
        <v>961.3448814100002</v>
      </c>
      <c r="BB9" s="168">
        <f>'International Financials'!BB5</f>
        <v>940.75</v>
      </c>
      <c r="BC9" s="168">
        <f>'International Financials'!BC5</f>
        <v>0</v>
      </c>
      <c r="BD9" s="2"/>
      <c r="BE9" s="13"/>
      <c r="BF9" s="2"/>
      <c r="BG9" s="2"/>
      <c r="BH9" s="2"/>
      <c r="BI9" s="2"/>
      <c r="BJ9" s="85"/>
      <c r="BK9" s="85"/>
      <c r="BL9" s="85"/>
      <c r="BM9" s="2"/>
      <c r="BN9" s="2"/>
      <c r="BO9" s="2"/>
      <c r="BP9" s="2"/>
      <c r="BQ9" s="2"/>
      <c r="BR9" s="2"/>
      <c r="BS9" s="2"/>
      <c r="BT9" s="2"/>
      <c r="BU9" s="2"/>
      <c r="BV9" s="2"/>
      <c r="BW9" s="2"/>
      <c r="BZ9" s="4">
        <f>(AS9-AO9)/(AS$13-AO$13)</f>
        <v>2.9419176620902942E-5</v>
      </c>
      <c r="CA9" s="4">
        <f>(AT9-AP9)/(AT$13-AP$13)</f>
        <v>-4.7838802955805738E-3</v>
      </c>
      <c r="CB9" s="4">
        <f>(AU9-AQ9)/(AU$13-AQ$13)</f>
        <v>-4.2446233070286025E-3</v>
      </c>
      <c r="CC9" s="4">
        <f>(AV9-AR9)/(AV$13-AR$13)</f>
        <v>-3.3502255838357212E-3</v>
      </c>
      <c r="CD9" s="4">
        <f>(AW9-AS9)/(AW$13-AS$13)</f>
        <v>-3.9569647174352027E-3</v>
      </c>
      <c r="CH9" s="74">
        <f t="shared" si="5"/>
        <v>2943.7045633729995</v>
      </c>
      <c r="CI9" s="12">
        <f t="shared" si="2"/>
        <v>-0.18130860590955378</v>
      </c>
      <c r="CJ9" s="12">
        <f t="shared" si="3"/>
        <v>0.40011126755065107</v>
      </c>
      <c r="CK9" s="12">
        <f t="shared" si="4"/>
        <v>0.34280825389392655</v>
      </c>
    </row>
    <row r="10" spans="1:95">
      <c r="A10" s="2" t="s">
        <v>34</v>
      </c>
      <c r="B10" s="179">
        <f>'International Financials'!B18</f>
        <v>43761.3</v>
      </c>
      <c r="C10" s="179">
        <f>'International Financials'!C18</f>
        <v>46556</v>
      </c>
      <c r="D10" s="179">
        <f>'International Financials'!D18</f>
        <v>53907</v>
      </c>
      <c r="E10" s="179">
        <f>'International Financials'!E18</f>
        <v>54406.799999999996</v>
      </c>
      <c r="F10" s="179">
        <f>'International Financials'!F18</f>
        <v>57564</v>
      </c>
      <c r="G10" s="179">
        <f>'International Financials'!G18</f>
        <v>59786.5</v>
      </c>
      <c r="H10" s="179">
        <f>'International Financials'!H18</f>
        <v>62315</v>
      </c>
      <c r="I10" s="179">
        <f>'International Financials'!I18</f>
        <v>61600</v>
      </c>
      <c r="J10" s="179">
        <f>'International Financials'!J18</f>
        <v>59309.192983000001</v>
      </c>
      <c r="K10" s="179">
        <f>'International Financials'!K18</f>
        <v>70257.822891999997</v>
      </c>
      <c r="L10" s="179">
        <f>'International Financials'!L18</f>
        <v>72298.029452000002</v>
      </c>
      <c r="M10" s="179">
        <f>'International Financials'!M18</f>
        <v>70623.199313000005</v>
      </c>
      <c r="N10" s="179">
        <f>'International Financials'!N18</f>
        <v>69685.361741000001</v>
      </c>
      <c r="O10" s="179">
        <f>'International Financials'!O18</f>
        <v>68956.352278999984</v>
      </c>
      <c r="P10" s="179">
        <f>'International Financials'!P18</f>
        <v>68275.648936999991</v>
      </c>
      <c r="Q10" s="179">
        <f>'International Financials'!Q18</f>
        <v>62152.525951999996</v>
      </c>
      <c r="R10" s="179">
        <f>'International Financials'!R18</f>
        <v>61594.534071000002</v>
      </c>
      <c r="S10" s="179">
        <f>'International Financials'!S18</f>
        <v>62721.312334999995</v>
      </c>
      <c r="T10" s="179">
        <f>'International Financials'!T18</f>
        <v>62505.601766000007</v>
      </c>
      <c r="U10" s="179">
        <f>'International Financials'!U18</f>
        <v>64511.019396999996</v>
      </c>
      <c r="V10" s="179">
        <f>'International Financials'!V18</f>
        <v>62493.492789999997</v>
      </c>
      <c r="W10" s="179">
        <f>'International Financials'!W18</f>
        <v>53047.696293542009</v>
      </c>
      <c r="X10" s="179">
        <f>'International Financials'!X18</f>
        <v>53558.667512548964</v>
      </c>
      <c r="Y10" s="179">
        <f>'International Financials'!Y18</f>
        <v>50468.039745782029</v>
      </c>
      <c r="Z10" s="179">
        <f>'International Financials'!Z18</f>
        <v>48528.016530169989</v>
      </c>
      <c r="AA10" s="179">
        <f>'International Financials'!AA18</f>
        <v>52030</v>
      </c>
      <c r="AB10" s="179">
        <f>'International Financials'!AB18</f>
        <v>51293.39205105498</v>
      </c>
      <c r="AC10" s="179">
        <f>'International Financials'!AC18</f>
        <v>47313.9294661768</v>
      </c>
      <c r="AD10" s="169">
        <f>'International Financials'!AD18</f>
        <v>50033.253772959797</v>
      </c>
      <c r="AE10" s="178">
        <f>'International Financials'!AE18</f>
        <v>53724.789620589399</v>
      </c>
      <c r="AF10" s="168">
        <f>'International Financials'!AF18</f>
        <v>56153.530464902702</v>
      </c>
      <c r="AG10" s="168">
        <f>'International Financials'!AG18</f>
        <v>55114.726907413387</v>
      </c>
      <c r="AH10" s="168">
        <f>'International Financials'!AH18</f>
        <v>55433.089851472148</v>
      </c>
      <c r="AI10" s="168">
        <f>'International Financials'!AI18</f>
        <v>59157</v>
      </c>
      <c r="AJ10" s="168">
        <f>'International Financials'!AJ18</f>
        <v>62692.392380003388</v>
      </c>
      <c r="AK10" s="168">
        <f>'International Financials'!AK18</f>
        <v>64888.432813095009</v>
      </c>
      <c r="AL10" s="168">
        <f>'International Financials'!AL18</f>
        <v>64512.787317906987</v>
      </c>
      <c r="AM10" s="168">
        <f>'International Financials'!AM18</f>
        <v>71660.353665636983</v>
      </c>
      <c r="AN10" s="168">
        <f>'International Financials'!AN18</f>
        <v>76441.540934315999</v>
      </c>
      <c r="AO10" s="168">
        <f>'International Financials'!AO18</f>
        <v>76017.490857259982</v>
      </c>
      <c r="AP10" s="168">
        <f>'International Financials'!AP18</f>
        <v>81773.153924568993</v>
      </c>
      <c r="AQ10" s="168">
        <f>'International Financials'!AQ18</f>
        <v>85915.677568233965</v>
      </c>
      <c r="AR10" s="168">
        <f>'International Financials'!AR18</f>
        <v>91053</v>
      </c>
      <c r="AS10" s="168">
        <f>'International Financials'!AS18</f>
        <v>91871.379550050056</v>
      </c>
      <c r="AT10" s="168">
        <f>'International Financials'!AT18</f>
        <v>97020.754476614995</v>
      </c>
      <c r="AU10" s="168">
        <f>'International Financials'!AU18</f>
        <v>104451.814448598</v>
      </c>
      <c r="AV10" s="168">
        <f>'International Financials'!AV18</f>
        <v>110876.80381784689</v>
      </c>
      <c r="AW10" s="168">
        <f>'International Financials'!AW18</f>
        <v>110314.79130590509</v>
      </c>
      <c r="AX10" s="168">
        <f>'International Financials'!AX18</f>
        <v>113168.47988314697</v>
      </c>
      <c r="AY10" s="168">
        <f>'International Financials'!AY18</f>
        <v>102767.63975801811</v>
      </c>
      <c r="AZ10" s="168">
        <f>'International Financials'!AZ18</f>
        <v>102972.35068890199</v>
      </c>
      <c r="BA10" s="168">
        <f>'International Financials'!BA18</f>
        <v>92932.501927844976</v>
      </c>
      <c r="BB10" s="168">
        <f>'International Financials'!BB18</f>
        <v>96369.348685824254</v>
      </c>
      <c r="BC10" s="168">
        <f>'International Financials'!BC18</f>
        <v>101631.1571631609</v>
      </c>
      <c r="BD10" s="2"/>
      <c r="BE10" s="13"/>
      <c r="BF10" s="2"/>
      <c r="BG10" s="2"/>
      <c r="BH10" s="2"/>
      <c r="BI10" s="2"/>
      <c r="BJ10" s="85"/>
      <c r="BK10" s="85"/>
      <c r="BL10" s="85"/>
      <c r="BM10" s="2"/>
      <c r="BN10" s="2"/>
      <c r="BO10" s="2"/>
      <c r="BP10" s="2"/>
      <c r="BQ10" s="2"/>
      <c r="BR10" s="2"/>
      <c r="BS10" s="2"/>
      <c r="BT10" s="2"/>
      <c r="BU10" s="2"/>
      <c r="BV10" s="2"/>
      <c r="BW10" s="2"/>
      <c r="BZ10" s="4">
        <f>(AS10-AO10)/(AS$13-AO$13)</f>
        <v>0.27557602455744956</v>
      </c>
      <c r="CA10" s="4">
        <f>(AT10-AP10)/(AT$13-AP$13)</f>
        <v>0.25621913211302305</v>
      </c>
      <c r="CB10" s="4">
        <f>(AU10-AQ10)/(AU$13-AQ$13)</f>
        <v>0.29895066254377195</v>
      </c>
      <c r="CC10" s="4">
        <f>(AV10-AR10)/(AV$13-AR$13)</f>
        <v>0.33385772201567726</v>
      </c>
      <c r="CD10" s="4">
        <f>(AW10-AS10)/(AW$13-AS$13)</f>
        <v>0.40906273994399794</v>
      </c>
      <c r="CH10" s="74">
        <f t="shared" si="5"/>
        <v>422664.16404896497</v>
      </c>
      <c r="CI10" s="12">
        <f t="shared" si="2"/>
        <v>0.2007525286567331</v>
      </c>
      <c r="CJ10" s="12">
        <f t="shared" si="3"/>
        <v>0.16643578473123566</v>
      </c>
      <c r="CK10" s="12">
        <f t="shared" si="4"/>
        <v>-1.6123939057168801E-2</v>
      </c>
    </row>
    <row r="11" spans="1:95">
      <c r="A11" s="2" t="s">
        <v>598</v>
      </c>
      <c r="B11" s="179">
        <f t="shared" ref="B11:Y11" si="6">B13-SUM(B4:B10)</f>
        <v>-17984.299999999988</v>
      </c>
      <c r="C11" s="179">
        <f t="shared" si="6"/>
        <v>-19156</v>
      </c>
      <c r="D11" s="179">
        <f t="shared" si="6"/>
        <v>-19633</v>
      </c>
      <c r="E11" s="179">
        <f t="shared" si="6"/>
        <v>-6298.0209766199987</v>
      </c>
      <c r="F11" s="179">
        <f t="shared" si="6"/>
        <v>-6665.6919015400053</v>
      </c>
      <c r="G11" s="179">
        <f t="shared" si="6"/>
        <v>-6986.9666876999836</v>
      </c>
      <c r="H11" s="179">
        <f t="shared" si="6"/>
        <v>-9205.7723009199835</v>
      </c>
      <c r="I11" s="179">
        <f t="shared" si="6"/>
        <v>-9448.8951420999947</v>
      </c>
      <c r="J11" s="179">
        <f t="shared" si="6"/>
        <v>-17847.303810000012</v>
      </c>
      <c r="K11" s="179">
        <f t="shared" si="6"/>
        <v>-19347.100203000009</v>
      </c>
      <c r="L11" s="179">
        <f t="shared" si="6"/>
        <v>-17865.328916999977</v>
      </c>
      <c r="M11" s="179">
        <f t="shared" si="6"/>
        <v>-18776.410780000035</v>
      </c>
      <c r="N11" s="179">
        <f t="shared" si="6"/>
        <v>-18023.591242999973</v>
      </c>
      <c r="O11" s="179">
        <f t="shared" si="6"/>
        <v>-18944.344407999975</v>
      </c>
      <c r="P11" s="179">
        <f t="shared" si="6"/>
        <v>-18801.238298000011</v>
      </c>
      <c r="Q11" s="179">
        <f t="shared" si="6"/>
        <v>-18797.15065799994</v>
      </c>
      <c r="R11" s="179">
        <f t="shared" si="6"/>
        <v>-17818.684525000019</v>
      </c>
      <c r="S11" s="179">
        <f t="shared" si="6"/>
        <v>-17095.041771999968</v>
      </c>
      <c r="T11" s="179">
        <f t="shared" si="6"/>
        <v>-17518.968904000008</v>
      </c>
      <c r="U11" s="179">
        <f t="shared" si="6"/>
        <v>-18069.57822200004</v>
      </c>
      <c r="V11" s="179">
        <f t="shared" si="6"/>
        <v>-18060.344840999984</v>
      </c>
      <c r="W11" s="179">
        <f t="shared" si="6"/>
        <v>-18332.464698225027</v>
      </c>
      <c r="X11" s="179">
        <f t="shared" si="6"/>
        <v>-18887.562639289041</v>
      </c>
      <c r="Y11" s="179">
        <f t="shared" si="6"/>
        <v>-19045.945243564027</v>
      </c>
      <c r="Z11" s="179">
        <f t="shared" ref="Z11:AA11" si="7">Z13-SUM(Z4:Z10)</f>
        <v>-18596.970196663984</v>
      </c>
      <c r="AA11" s="179">
        <f t="shared" si="7"/>
        <v>-18401</v>
      </c>
      <c r="AB11" s="179">
        <f t="shared" ref="AB11:AC11" si="8">AB13-SUM(AB4:AB10)</f>
        <v>-18474.259728114004</v>
      </c>
      <c r="AC11" s="179">
        <f t="shared" si="8"/>
        <v>-16183.429194162891</v>
      </c>
      <c r="AD11" s="169">
        <f t="shared" ref="AD11" si="9">AD13-SUM(AD4:AD10)</f>
        <v>-20446.912307396764</v>
      </c>
      <c r="AE11" s="178">
        <f t="shared" ref="AE11:AF11" si="10">AE13-SUM(AE4:AE10)</f>
        <v>-22404.098004776402</v>
      </c>
      <c r="AF11" s="168">
        <f t="shared" si="10"/>
        <v>-21139.979407874634</v>
      </c>
      <c r="AG11" s="168">
        <f t="shared" ref="AG11:AH11" si="11">AG13-SUM(AG4:AG10)</f>
        <v>-19325.67664003346</v>
      </c>
      <c r="AH11" s="168">
        <f t="shared" si="11"/>
        <v>-20246.65429007815</v>
      </c>
      <c r="AI11" s="168">
        <f t="shared" ref="AI11:AJ11" si="12">AI13-SUM(AI4:AI10)</f>
        <v>-22118</v>
      </c>
      <c r="AJ11" s="168">
        <f t="shared" si="12"/>
        <v>-19335.51402524233</v>
      </c>
      <c r="AK11" s="168">
        <f t="shared" ref="AK11:AL11" si="13">AK13-SUM(AK4:AK10)</f>
        <v>-27781.201435302006</v>
      </c>
      <c r="AL11" s="168">
        <f t="shared" si="13"/>
        <v>-26142.390863964974</v>
      </c>
      <c r="AM11" s="168">
        <f t="shared" ref="AM11:AO11" si="14">AM13-SUM(AM4:AM10)</f>
        <v>-27397.60121075192</v>
      </c>
      <c r="AN11" s="168">
        <f t="shared" ref="AN11" si="15">AN13-SUM(AN4:AN10)</f>
        <v>-9893.4448945090408</v>
      </c>
      <c r="AO11" s="168">
        <f t="shared" si="14"/>
        <v>-11026.574671484123</v>
      </c>
      <c r="AP11" s="168">
        <f>AP13-SUM(AP4:AP10)</f>
        <v>-9764.6869520290056</v>
      </c>
      <c r="AQ11" s="168">
        <f t="shared" ref="AQ11" si="16">AQ13-SUM(AQ4:AQ10)</f>
        <v>-10582.535307347949</v>
      </c>
      <c r="AR11" s="168">
        <f t="shared" ref="AR11" si="17">AR13-SUM(AR4:AR10)</f>
        <v>-10475.508659906918</v>
      </c>
      <c r="AS11" s="168">
        <f t="shared" ref="AS11:AT11" si="18">AS13-SUM(AS4:AS10)</f>
        <v>-11226.600691815082</v>
      </c>
      <c r="AT11" s="168">
        <f t="shared" si="18"/>
        <v>-11448.494988934021</v>
      </c>
      <c r="AU11" s="168">
        <f t="shared" ref="AU11" si="19">AU13-SUM(AU4:AU10)</f>
        <v>-12533.080087176058</v>
      </c>
      <c r="AV11" s="168">
        <f t="shared" ref="AV11:AW11" si="20">AV13-SUM(AV4:AV10)</f>
        <v>-12648.304719325912</v>
      </c>
      <c r="AW11" s="168">
        <f t="shared" si="20"/>
        <v>-12628.90987545019</v>
      </c>
      <c r="AX11" s="168">
        <f t="shared" ref="AX11:AY11" si="21">AX13-SUM(AX4:AX10)</f>
        <v>-13195.988621422905</v>
      </c>
      <c r="AY11" s="168">
        <f t="shared" si="21"/>
        <v>-13605.495584031101</v>
      </c>
      <c r="AZ11" s="168">
        <f t="shared" ref="AZ11:BA11" si="22">AZ13-SUM(AZ4:AZ10)</f>
        <v>-13811.426306726062</v>
      </c>
      <c r="BA11" s="168">
        <f t="shared" si="22"/>
        <v>-14024.153186324053</v>
      </c>
      <c r="BB11" s="168">
        <f t="shared" ref="BB11:BC11" si="23">BB13-SUM(BB4:BB10)</f>
        <v>-13726.498685824277</v>
      </c>
      <c r="BC11" s="168">
        <f t="shared" si="23"/>
        <v>-13731.157163160911</v>
      </c>
      <c r="BD11" s="2"/>
      <c r="BE11" s="13"/>
      <c r="BF11" s="2"/>
      <c r="BG11" s="2"/>
      <c r="BH11" s="2"/>
      <c r="BI11" s="2"/>
      <c r="BJ11" s="85"/>
      <c r="BK11" s="85"/>
      <c r="BL11" s="85"/>
      <c r="BM11" s="2"/>
      <c r="BN11" s="2"/>
      <c r="BO11" s="2"/>
      <c r="BP11" s="2"/>
      <c r="BQ11" s="2"/>
      <c r="BR11" s="2"/>
      <c r="BS11" s="2"/>
      <c r="BT11" s="2"/>
      <c r="BU11" s="2"/>
      <c r="BV11" s="2"/>
      <c r="BW11" s="2"/>
      <c r="BZ11" s="4">
        <f>(AS11-AO11)/(AS$13-AO$13)</f>
        <v>-3.4768993626100989E-3</v>
      </c>
      <c r="CA11" s="4">
        <f>(AT11-AP11)/(AT$13-AP$13)</f>
        <v>-2.8294539353134179E-2</v>
      </c>
      <c r="CB11" s="4">
        <f>(AU11-AQ11)/(AU$13-AQ$13)</f>
        <v>-3.1458370102382255E-2</v>
      </c>
      <c r="CC11" s="4">
        <f>(AV11-AR11)/(AV$13-AR$13)</f>
        <v>-3.6592611058287469E-2</v>
      </c>
      <c r="CD11" s="4">
        <f>(AW11-AS11)/(AW$13-AS$13)</f>
        <v>-3.1102295198951108E-2</v>
      </c>
      <c r="CH11" s="74">
        <f t="shared" si="5"/>
        <v>-49258.789670886181</v>
      </c>
      <c r="CI11" s="12">
        <f t="shared" si="2"/>
        <v>0.12490950931010514</v>
      </c>
      <c r="CJ11" s="12">
        <f t="shared" si="3"/>
        <v>0.15263959447752651</v>
      </c>
      <c r="CK11" s="12">
        <f t="shared" si="4"/>
        <v>8.5566795184876199E-2</v>
      </c>
    </row>
    <row r="12" spans="1:95" hidden="1">
      <c r="A12" s="9"/>
      <c r="B12" s="170"/>
      <c r="C12" s="170"/>
      <c r="D12" s="170"/>
      <c r="E12" s="170"/>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70"/>
      <c r="AV12" s="170"/>
      <c r="AW12" s="170"/>
      <c r="AX12" s="170"/>
      <c r="AY12" s="170"/>
      <c r="AZ12" s="170"/>
      <c r="BA12" s="170"/>
      <c r="BB12" s="170"/>
      <c r="BC12" s="170"/>
      <c r="BD12" s="9"/>
      <c r="BE12" s="173"/>
      <c r="BF12" s="2"/>
      <c r="BG12" s="2"/>
      <c r="BH12" s="2"/>
      <c r="BI12" s="2"/>
      <c r="BJ12" s="85"/>
      <c r="BK12" s="85"/>
      <c r="BL12" s="85"/>
      <c r="BM12" s="2"/>
      <c r="BN12" s="2"/>
      <c r="BO12" s="2"/>
      <c r="BP12" s="2"/>
      <c r="BQ12" s="2"/>
      <c r="BR12" s="2"/>
      <c r="BS12" s="2"/>
      <c r="BT12" s="2"/>
      <c r="BU12" s="2"/>
      <c r="BV12" s="2"/>
      <c r="BW12" s="2"/>
      <c r="BX12" s="4"/>
      <c r="BY12" s="4"/>
      <c r="BZ12" s="105"/>
      <c r="CA12" s="12"/>
      <c r="CH12" s="74">
        <f t="shared" si="5"/>
        <v>0</v>
      </c>
      <c r="CI12" s="12" t="e">
        <f t="shared" si="2"/>
        <v>#DIV/0!</v>
      </c>
      <c r="CJ12" s="12" t="e">
        <f t="shared" si="3"/>
        <v>#DIV/0!</v>
      </c>
      <c r="CK12" s="12" t="e">
        <f t="shared" si="4"/>
        <v>#DIV/0!</v>
      </c>
    </row>
    <row r="13" spans="1:95">
      <c r="A13" s="183" t="s">
        <v>23</v>
      </c>
      <c r="B13" s="267">
        <v>169749</v>
      </c>
      <c r="C13" s="267">
        <v>172698</v>
      </c>
      <c r="D13" s="267">
        <v>184767</v>
      </c>
      <c r="E13" s="184">
        <f>'Reported Group Profit and Loss'!E4</f>
        <v>187294</v>
      </c>
      <c r="F13" s="184">
        <f>'Reported Group Profit and Loss'!F4</f>
        <v>193501</v>
      </c>
      <c r="G13" s="184">
        <f>'Reported Group Profit and Loss'!G4</f>
        <v>202732</v>
      </c>
      <c r="H13" s="184">
        <f>'Reported Group Profit and Loss'!H4</f>
        <v>202395</v>
      </c>
      <c r="I13" s="184">
        <f>'Reported Group Profit and Loss'!I4</f>
        <v>204484</v>
      </c>
      <c r="J13" s="184">
        <f>'Reported Group Profit and Loss'!J4</f>
        <v>202639</v>
      </c>
      <c r="K13" s="184">
        <f>'Reported Group Profit and Loss'!K4</f>
        <v>213244</v>
      </c>
      <c r="L13" s="184">
        <f>'Reported Group Profit and Loss'!L4</f>
        <v>219385</v>
      </c>
      <c r="M13" s="184">
        <f>'Reported Group Profit and Loss'!M4</f>
        <v>222193</v>
      </c>
      <c r="N13" s="184">
        <f>'Reported Group Profit and Loss'!N4</f>
        <v>229616</v>
      </c>
      <c r="O13" s="184">
        <f>'Reported Group Profit and Loss'!O4</f>
        <v>228452</v>
      </c>
      <c r="P13" s="184">
        <f>'Reported Group Profit and Loss'!P4</f>
        <v>232171</v>
      </c>
      <c r="Q13" s="184">
        <f>'Reported Group Profit and Loss'!Q4</f>
        <v>230155</v>
      </c>
      <c r="R13" s="184">
        <f>'Reported Group Profit and Loss'!R4</f>
        <v>236709</v>
      </c>
      <c r="S13" s="184">
        <f>'Reported Group Profit and Loss'!S4</f>
        <v>238357</v>
      </c>
      <c r="T13" s="184">
        <f>'Reported Group Profit and Loss'!T4</f>
        <v>240659</v>
      </c>
      <c r="U13" s="184">
        <f>'Reported Group Profit and Loss'!U4</f>
        <v>249596</v>
      </c>
      <c r="V13" s="184">
        <f>'Reported Group Profit and Loss'!V4</f>
        <v>255465</v>
      </c>
      <c r="W13" s="184">
        <f>'Reported Group Profit and Loss'!W4</f>
        <v>246515</v>
      </c>
      <c r="X13" s="184">
        <f>'Reported Group Profit and Loss'!X4</f>
        <v>233357</v>
      </c>
      <c r="Y13" s="184">
        <f>'Reported Group Profit and Loss'!Y4</f>
        <v>219346</v>
      </c>
      <c r="Z13" s="184">
        <f>'Reported Group Profit and Loss'!Z4</f>
        <v>219581</v>
      </c>
      <c r="AA13" s="184">
        <f>'Reported Group Profit and Loss'!AA4</f>
        <v>217769</v>
      </c>
      <c r="AB13" s="184">
        <f>'Reported Group Profit and Loss'!AB4</f>
        <v>203186</v>
      </c>
      <c r="AC13" s="184">
        <f>'Reported Group Profit and Loss'!AC4</f>
        <v>196343</v>
      </c>
      <c r="AD13" s="184">
        <f>'Reported Group Profit and Loss'!AD4</f>
        <v>197992</v>
      </c>
      <c r="AE13" s="185">
        <f>'Reported Group Profit and Loss'!AE4</f>
        <v>201477</v>
      </c>
      <c r="AF13" s="185">
        <f>'Reported Group Profit and Loss'!AF4</f>
        <v>202311</v>
      </c>
      <c r="AG13" s="185">
        <f>'Reported Group Profit and Loss'!AG4</f>
        <v>206022</v>
      </c>
      <c r="AH13" s="185">
        <f>'Reported Group Profit and Loss'!AH4</f>
        <v>207379</v>
      </c>
      <c r="AI13" s="185">
        <f>'Reported Group Profit and Loss'!AI4</f>
        <v>211313</v>
      </c>
      <c r="AJ13" s="185">
        <f>'Reported Group Profit and Loss'!AJ4</f>
        <v>219471</v>
      </c>
      <c r="AK13" s="185">
        <f>'Reported Group Profit and Loss'!AK4</f>
        <v>230187</v>
      </c>
      <c r="AL13" s="185">
        <f>'Reported Group Profit and Loss'!AL4</f>
        <v>232903</v>
      </c>
      <c r="AM13" s="185">
        <f>'Reported Group Profit and Loss'!AM4</f>
        <v>250604</v>
      </c>
      <c r="AN13" s="185">
        <f>'Reported Group Profit and Loss'!AN4</f>
        <v>265178</v>
      </c>
      <c r="AO13" s="185">
        <f>'Reported Group Profit and Loss'!AO4</f>
        <v>257473</v>
      </c>
      <c r="AP13" s="185">
        <f>'Reported Group Profit and Loss'!AP4</f>
        <v>268536</v>
      </c>
      <c r="AQ13" s="185">
        <f>'Reported Group Profit and Loss'!AQ4</f>
        <v>283264</v>
      </c>
      <c r="AR13" s="185">
        <f>'Reported Group Profit and Loss'!AR4</f>
        <v>298666</v>
      </c>
      <c r="AS13" s="185">
        <f>'Reported Group Profit and Loss'!AS4</f>
        <v>315003</v>
      </c>
      <c r="AT13" s="185">
        <f>'Reported Group Profit and Loss'!AT4</f>
        <v>328046</v>
      </c>
      <c r="AU13" s="185">
        <f>'Reported Group Profit and Loss'!AU4</f>
        <v>345268</v>
      </c>
      <c r="AV13" s="185">
        <f>'Reported Group Profit and Loss'!AV4</f>
        <v>358044</v>
      </c>
      <c r="AW13" s="185">
        <f>'Reported Group Profit and Loss'!AW4</f>
        <v>360090</v>
      </c>
      <c r="AX13" s="185">
        <f>'Reported Group Profit and Loss'!AX4</f>
        <v>374400</v>
      </c>
      <c r="AY13" s="185">
        <f>'Reported Group Profit and Loss'!AY4</f>
        <v>370438</v>
      </c>
      <c r="AZ13" s="185">
        <f>'Reported Group Profit and Loss'!AZ4</f>
        <v>378995</v>
      </c>
      <c r="BA13" s="185">
        <f>'Reported Group Profit and Loss'!BA4</f>
        <v>375991</v>
      </c>
      <c r="BB13" s="185">
        <f>'Reported Group Profit and Loss'!BB4</f>
        <v>385064</v>
      </c>
      <c r="BC13" s="185">
        <f>'Reported Group Profit and Loss'!BC4</f>
        <v>414733</v>
      </c>
      <c r="BD13" s="13"/>
      <c r="BE13" s="17"/>
      <c r="BF13" s="2"/>
      <c r="BG13" s="2"/>
      <c r="BH13" s="2"/>
      <c r="BI13" s="2"/>
      <c r="BJ13" s="249">
        <v>265</v>
      </c>
      <c r="BK13" s="118">
        <f>AH13-BJ13</f>
        <v>207114</v>
      </c>
      <c r="BL13" s="120">
        <f>BK13/AD13-1</f>
        <v>4.6072568588629847E-2</v>
      </c>
      <c r="BM13" s="105"/>
      <c r="BN13" s="118">
        <f>AI13-BJ13</f>
        <v>211048</v>
      </c>
      <c r="BO13" s="105"/>
      <c r="BP13" s="118">
        <f>AJ13-BJ13</f>
        <v>219206</v>
      </c>
      <c r="BQ13" s="105"/>
      <c r="BR13" s="105"/>
      <c r="BS13" s="2"/>
      <c r="BT13" s="2"/>
      <c r="BU13" s="104">
        <f>AK13+BW7</f>
        <v>232174</v>
      </c>
      <c r="BV13" s="280">
        <f>BU13/AG13-1</f>
        <v>0.12693789983593984</v>
      </c>
      <c r="BW13" s="2"/>
      <c r="BX13" s="4"/>
      <c r="BY13" s="4"/>
      <c r="BZ13" s="105"/>
      <c r="CA13" s="12"/>
      <c r="CH13" s="74">
        <f t="shared" si="5"/>
        <v>1391448</v>
      </c>
      <c r="CI13" s="12">
        <f t="shared" si="2"/>
        <v>0.14313197017171264</v>
      </c>
      <c r="CJ13" s="12">
        <f t="shared" si="3"/>
        <v>0.1413033537979429</v>
      </c>
      <c r="CK13" s="12">
        <f t="shared" si="4"/>
        <v>7.2899892257608512E-2</v>
      </c>
    </row>
    <row r="14" spans="1:95">
      <c r="A14" s="2"/>
      <c r="B14" s="178"/>
      <c r="C14" s="178"/>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68"/>
      <c r="AE14" s="178"/>
      <c r="AF14" s="168"/>
      <c r="AG14" s="178"/>
      <c r="AH14" s="178"/>
      <c r="AI14" s="178"/>
      <c r="AJ14" s="178"/>
      <c r="AK14" s="178"/>
      <c r="AL14" s="178"/>
      <c r="AM14" s="178"/>
      <c r="AN14" s="178"/>
      <c r="AO14" s="178"/>
      <c r="AP14" s="178"/>
      <c r="AQ14" s="178"/>
      <c r="AR14" s="178"/>
      <c r="AS14" s="178"/>
      <c r="AT14" s="178"/>
      <c r="AU14" s="178"/>
      <c r="AV14" s="180"/>
      <c r="AW14" s="178"/>
      <c r="AX14" s="178"/>
      <c r="AY14" s="178"/>
      <c r="AZ14" s="178"/>
      <c r="BA14" s="178"/>
      <c r="BB14" s="178"/>
      <c r="BC14" s="178"/>
      <c r="BD14" s="2"/>
      <c r="BE14" s="13"/>
      <c r="BF14" s="2"/>
      <c r="BG14" s="2"/>
      <c r="BH14" s="2"/>
      <c r="BI14" s="2"/>
      <c r="BJ14" s="85"/>
      <c r="BK14" s="85"/>
      <c r="BL14" s="120">
        <f>BK13/AG13-1</f>
        <v>5.3004048111366941E-3</v>
      </c>
      <c r="BM14" s="2"/>
      <c r="BN14" s="2"/>
      <c r="BO14" s="2"/>
      <c r="BP14" s="2"/>
      <c r="BQ14" s="2"/>
      <c r="BR14" s="2"/>
      <c r="BS14" s="2"/>
      <c r="BT14" s="2"/>
      <c r="BU14" s="2"/>
      <c r="BV14" s="2"/>
      <c r="BW14" s="2"/>
      <c r="BX14" s="2"/>
      <c r="BY14" s="2"/>
      <c r="BZ14" s="2"/>
    </row>
    <row r="15" spans="1:95">
      <c r="A15" s="13" t="s">
        <v>37</v>
      </c>
      <c r="B15" s="178"/>
      <c r="C15" s="178"/>
      <c r="D15" s="178"/>
      <c r="E15" s="178"/>
      <c r="F15" s="178"/>
      <c r="G15" s="178"/>
      <c r="H15" s="178"/>
      <c r="I15" s="178"/>
      <c r="J15" s="178"/>
      <c r="K15" s="178"/>
      <c r="L15" s="178"/>
      <c r="M15" s="178"/>
      <c r="N15" s="178"/>
      <c r="O15" s="178"/>
      <c r="P15" s="178"/>
      <c r="Q15" s="178"/>
      <c r="R15" s="178"/>
      <c r="S15" s="178"/>
      <c r="T15" s="178"/>
      <c r="U15" s="178"/>
      <c r="V15" s="178"/>
      <c r="W15" s="168"/>
      <c r="X15" s="168"/>
      <c r="Y15" s="168"/>
      <c r="Z15" s="168"/>
      <c r="AA15" s="168"/>
      <c r="AB15" s="168"/>
      <c r="AC15" s="168"/>
      <c r="AD15" s="168"/>
      <c r="AE15" s="168"/>
      <c r="AF15" s="168"/>
      <c r="AG15" s="168"/>
      <c r="AH15" s="168"/>
      <c r="AI15" s="168"/>
      <c r="AJ15" s="168"/>
      <c r="AK15" s="168"/>
      <c r="AL15" s="168"/>
      <c r="AM15" s="432"/>
      <c r="AN15" s="432"/>
      <c r="AO15" s="432"/>
      <c r="AP15" s="432"/>
      <c r="AQ15" s="432"/>
      <c r="AR15" s="432"/>
      <c r="AS15" s="432"/>
      <c r="AT15" s="432"/>
      <c r="AU15" s="432"/>
      <c r="AV15" s="432"/>
      <c r="AW15" s="432"/>
      <c r="AX15" s="432"/>
      <c r="AY15" s="432"/>
      <c r="AZ15" s="432"/>
      <c r="BA15" s="432"/>
      <c r="BB15" s="432"/>
      <c r="BC15" s="432"/>
      <c r="BD15" s="2"/>
      <c r="BE15" s="13"/>
      <c r="BF15" s="2"/>
      <c r="BG15" s="2"/>
      <c r="BH15" s="2"/>
      <c r="BI15" s="2"/>
      <c r="BJ15" s="85"/>
      <c r="BK15" s="85"/>
      <c r="BL15" s="85"/>
      <c r="BM15" s="2"/>
      <c r="BN15" s="2"/>
      <c r="BO15" s="2"/>
      <c r="BP15" s="2"/>
      <c r="BQ15" s="2"/>
      <c r="BR15" s="2"/>
      <c r="BS15" s="2"/>
      <c r="BT15" s="2"/>
      <c r="BU15" s="2"/>
      <c r="BV15" s="2"/>
      <c r="BW15" s="2"/>
      <c r="BX15" s="2"/>
      <c r="BY15" s="2"/>
      <c r="BZ15" s="2"/>
    </row>
    <row r="16" spans="1:95">
      <c r="A16" s="2" t="s">
        <v>741</v>
      </c>
      <c r="B16" s="178">
        <f>'Domestic Mobile Financials'!B6</f>
        <v>33614</v>
      </c>
      <c r="C16" s="178">
        <f>'Domestic Mobile Financials'!C6</f>
        <v>32926</v>
      </c>
      <c r="D16" s="178">
        <f>'Domestic Mobile Financials'!D6</f>
        <v>34431</v>
      </c>
      <c r="E16" s="178">
        <f>'Domestic Mobile Financials'!E6</f>
        <v>35719</v>
      </c>
      <c r="F16" s="178">
        <f>'Domestic Mobile Financials'!F6</f>
        <v>31266</v>
      </c>
      <c r="G16" s="178">
        <f>'Domestic Mobile Financials'!G6</f>
        <v>33396</v>
      </c>
      <c r="H16" s="178">
        <f>'Domestic Mobile Financials'!H6</f>
        <v>31219</v>
      </c>
      <c r="I16" s="178">
        <f>'Domestic Mobile Financials'!I6</f>
        <v>33696</v>
      </c>
      <c r="J16" s="178">
        <f>'Domestic Mobile Financials'!J6</f>
        <v>37632.555138999982</v>
      </c>
      <c r="K16" s="178">
        <f>'Domestic Mobile Financials'!K6</f>
        <v>38035.831232000033</v>
      </c>
      <c r="L16" s="178">
        <f>'Domestic Mobile Financials'!L6</f>
        <v>39748.313629999982</v>
      </c>
      <c r="M16" s="178">
        <f>'Domestic Mobile Financials'!M6</f>
        <v>42147.009856000041</v>
      </c>
      <c r="N16" s="178">
        <f>'Domestic Mobile Financials'!N6</f>
        <v>47061.118996000005</v>
      </c>
      <c r="O16" s="178">
        <f>'Domestic Mobile Financials'!O6</f>
        <v>46457.803604606306</v>
      </c>
      <c r="P16" s="178">
        <f>'Domestic Mobile Financials'!P6</f>
        <v>49128.23866286331</v>
      </c>
      <c r="Q16" s="178">
        <f>'Domestic Mobile Financials'!Q6</f>
        <v>51743.624178028374</v>
      </c>
      <c r="R16" s="178">
        <f>'Domestic Mobile Financials'!R6</f>
        <v>53489.131404000007</v>
      </c>
      <c r="S16" s="178">
        <f>'Domestic Mobile Financials'!S6</f>
        <v>52678.834924999981</v>
      </c>
      <c r="T16" s="178">
        <f>'Domestic Mobile Financials'!T6</f>
        <v>54362.28644799997</v>
      </c>
      <c r="U16" s="178">
        <f>'Domestic Mobile Financials'!U6</f>
        <v>58615.961632000079</v>
      </c>
      <c r="V16" s="178">
        <f>'Domestic Mobile Financials'!V6</f>
        <v>63875.482172999997</v>
      </c>
      <c r="W16" s="168">
        <f>'Domestic Mobile Financials'!W6</f>
        <v>62775.282877888967</v>
      </c>
      <c r="X16" s="168">
        <f>'Domestic Mobile Financials'!X6</f>
        <v>52986.338956959953</v>
      </c>
      <c r="Y16" s="168">
        <f>'Domestic Mobile Financials'!Y6</f>
        <v>47873.154957489052</v>
      </c>
      <c r="Z16" s="168">
        <f>'Domestic Mobile Financials'!Z6</f>
        <v>44281</v>
      </c>
      <c r="AA16" s="168">
        <f>'Domestic Mobile Financials'!AA6</f>
        <v>42087</v>
      </c>
      <c r="AB16" s="168">
        <f>'Domestic Mobile Financials'!AB6</f>
        <v>35090.921213339956</v>
      </c>
      <c r="AC16" s="168">
        <f>'Domestic Mobile Financials'!AC6</f>
        <v>29428.119611289003</v>
      </c>
      <c r="AD16" s="168">
        <f>'Domestic Mobile Financials'!AD6</f>
        <v>27602.564374000009</v>
      </c>
      <c r="AE16" s="168">
        <f>'Domestic Mobile Financials'!AE6</f>
        <v>21467.989977999998</v>
      </c>
      <c r="AF16" s="168">
        <f>'Domestic Mobile Financials'!AF6</f>
        <v>19497.551374145027</v>
      </c>
      <c r="AG16" s="168">
        <f>'Domestic Mobile Financials'!AG6</f>
        <v>25657.156111999997</v>
      </c>
      <c r="AH16" s="168">
        <f>'Domestic Mobile Financials'!AH6</f>
        <v>38741.974539450006</v>
      </c>
      <c r="AI16" s="168">
        <f>'Domestic Mobile Financials'!AI6</f>
        <v>39913</v>
      </c>
      <c r="AJ16" s="168">
        <f>'Domestic Mobile Financials'!AJ6</f>
        <v>40109.023235999979</v>
      </c>
      <c r="AK16" s="168">
        <f>'Domestic Mobile Financials'!AK6</f>
        <v>50795.573455490055</v>
      </c>
      <c r="AL16" s="168">
        <f>'Domestic Mobile Financials'!AL6</f>
        <v>52227.34835800001</v>
      </c>
      <c r="AM16" s="168">
        <f>'Domestic Mobile Financials'!AM6</f>
        <v>58919.083494999948</v>
      </c>
      <c r="AN16" s="168">
        <f>'Domestic Mobile Financials'!AN6</f>
        <v>64598.766257000018</v>
      </c>
      <c r="AO16" s="168">
        <f>'Domestic Mobile Financials'!AO6</f>
        <v>66896.953566000127</v>
      </c>
      <c r="AP16" s="168">
        <f>'Domestic Mobile Financials'!AP6</f>
        <v>70335.220085719993</v>
      </c>
      <c r="AQ16" s="168">
        <f>'Domestic Mobile Financials'!AQ6</f>
        <v>74679</v>
      </c>
      <c r="AR16" s="168">
        <f>'Domestic Mobile Financials'!AR6</f>
        <v>78962.476355852035</v>
      </c>
      <c r="AS16" s="168">
        <f>'Domestic Mobile Financials'!AS6</f>
        <v>88599.264398901811</v>
      </c>
      <c r="AT16" s="168">
        <f>'Domestic Mobile Financials'!AT6</f>
        <v>92666.831511270284</v>
      </c>
      <c r="AU16" s="168">
        <f>'Domestic Mobile Financials'!AU6</f>
        <v>98736.162186745802</v>
      </c>
      <c r="AV16" s="168">
        <f>'Domestic Mobile Financials'!AV6</f>
        <v>104121.31686903587</v>
      </c>
      <c r="AW16" s="168">
        <f>'Domestic Mobile Financials'!AW6</f>
        <v>105226.97681459524</v>
      </c>
      <c r="AX16" s="168">
        <f>'Domestic Mobile Financials'!AX6</f>
        <v>111664.93428699998</v>
      </c>
      <c r="AY16" s="168">
        <f>'Domestic Mobile Financials'!AY6</f>
        <v>115039.43971699997</v>
      </c>
      <c r="AZ16" s="168">
        <f>'Domestic Mobile Financials'!AZ6</f>
        <v>119239.74851200011</v>
      </c>
      <c r="BA16" s="168">
        <f>'Domestic Mobile Financials'!BA6</f>
        <v>121607.10500399992</v>
      </c>
      <c r="BB16" s="168">
        <f>'Domestic Mobile Financials'!BB6</f>
        <v>125274</v>
      </c>
      <c r="BC16" s="168">
        <f>'Domestic Mobile Financials'!BC6</f>
        <v>141710</v>
      </c>
      <c r="BD16" s="2"/>
      <c r="BE16" s="17"/>
      <c r="BF16" s="2"/>
      <c r="BG16" s="105">
        <f>AH16/(AH16+AH$22+AH20)</f>
        <v>0.53068991743870131</v>
      </c>
      <c r="BH16" s="118">
        <f>BG16*BJ$25</f>
        <v>8025.6236214254795</v>
      </c>
      <c r="BI16" s="2"/>
      <c r="BJ16" s="118">
        <f>AH16-25184</f>
        <v>13557.974539450006</v>
      </c>
      <c r="BK16" s="118">
        <f t="shared" ref="BK16:BK21" si="24">AH16-BJ16</f>
        <v>25184</v>
      </c>
      <c r="BL16" s="120">
        <f t="shared" ref="BL16:BL21" si="25">BK16/AD16-1</f>
        <v>-8.7621002933993886E-2</v>
      </c>
      <c r="BM16" s="2"/>
      <c r="BN16" s="2"/>
      <c r="BO16" s="2"/>
      <c r="BP16" s="104">
        <f>AJ16-BH16</f>
        <v>32083.3996145745</v>
      </c>
      <c r="BQ16" s="2">
        <f>BP16/AF16-1</f>
        <v>0.64550917183985956</v>
      </c>
      <c r="BR16" s="2"/>
      <c r="BS16" s="2"/>
      <c r="BT16" s="2"/>
      <c r="BU16" s="2"/>
      <c r="BV16" s="2"/>
      <c r="BW16" s="2"/>
      <c r="BX16" s="466">
        <f>SUM(AT16:AW16)</f>
        <v>400751.28738164721</v>
      </c>
      <c r="BY16" s="4"/>
      <c r="BZ16" s="2"/>
      <c r="CA16" s="34"/>
      <c r="CB16" s="34"/>
      <c r="CC16" s="34"/>
      <c r="CD16" s="34"/>
      <c r="CE16" s="34"/>
      <c r="CF16" s="34"/>
      <c r="CG16" s="34"/>
      <c r="CH16" s="34"/>
      <c r="CI16" s="34">
        <f>AW16/AW4</f>
        <v>0.53826582507080478</v>
      </c>
      <c r="CJ16" s="34">
        <f>AX16/AX4</f>
        <v>0.54757994353317463</v>
      </c>
      <c r="CK16" s="34">
        <f>AY16/AY4</f>
        <v>0.54905939722618291</v>
      </c>
      <c r="CL16" s="34">
        <f>AZ16/AZ4</f>
        <v>0.55105226695063769</v>
      </c>
      <c r="CM16" s="34">
        <f>BA16/BA4</f>
        <v>0.55111428280772523</v>
      </c>
      <c r="CN16" s="34">
        <f t="shared" ref="CN16:CO25" si="26">BB16/BB4</f>
        <v>0.55609514441054997</v>
      </c>
      <c r="CO16" s="34">
        <f t="shared" si="26"/>
        <v>0.57055775432719602</v>
      </c>
      <c r="CQ16" s="12">
        <f>CO16-CK16</f>
        <v>2.149835710101311E-2</v>
      </c>
    </row>
    <row r="17" spans="1:95">
      <c r="A17" s="2" t="s">
        <v>742</v>
      </c>
      <c r="B17" s="179">
        <f>'Other India financials'!B7</f>
        <v>4304</v>
      </c>
      <c r="C17" s="179">
        <f>'Other India financials'!C7</f>
        <v>4213</v>
      </c>
      <c r="D17" s="179">
        <f>'Other India financials'!D7</f>
        <v>3542</v>
      </c>
      <c r="E17" s="179">
        <f>'Other India financials'!E7</f>
        <v>3776.7944000000025</v>
      </c>
      <c r="F17" s="179">
        <f>'Other India financials'!F7</f>
        <v>3809.3204489999998</v>
      </c>
      <c r="G17" s="179">
        <f>'Other India financials'!G7</f>
        <v>4039.1730609999995</v>
      </c>
      <c r="H17" s="179">
        <f>'Other India financials'!H7</f>
        <v>4165.1191289999997</v>
      </c>
      <c r="I17" s="179">
        <f>'Other India financials'!I7</f>
        <v>4190.5497269999951</v>
      </c>
      <c r="J17" s="179">
        <f>'Other India financials'!J7</f>
        <v>3764.2675820000009</v>
      </c>
      <c r="K17" s="179">
        <f>'Other India financials'!K7</f>
        <v>3616.8733799999977</v>
      </c>
      <c r="L17" s="179">
        <f>'Other India financials'!L7</f>
        <v>3573.8894090000008</v>
      </c>
      <c r="M17" s="179">
        <f>'Other India financials'!M7</f>
        <v>3816.2416910000061</v>
      </c>
      <c r="N17" s="179">
        <f>'Other India financials'!N7</f>
        <v>3946.572290999999</v>
      </c>
      <c r="O17" s="179">
        <f>'Other India financials'!O7</f>
        <v>4505.7918777819723</v>
      </c>
      <c r="P17" s="179">
        <f>'Other India financials'!P7</f>
        <v>4407.0797249752013</v>
      </c>
      <c r="Q17" s="179">
        <f>'Other India financials'!Q7</f>
        <v>5165.0276656242731</v>
      </c>
      <c r="R17" s="179">
        <f>'Other India financials'!R7</f>
        <v>2521.311686</v>
      </c>
      <c r="S17" s="179">
        <f>'Other India financials'!S7</f>
        <v>2618.2445200000029</v>
      </c>
      <c r="T17" s="179">
        <f>'Other India financials'!T7</f>
        <v>2710.5299309999955</v>
      </c>
      <c r="U17" s="179">
        <f>'Other India financials'!U7</f>
        <v>2797.8141239999986</v>
      </c>
      <c r="V17" s="179">
        <f>'Other India financials'!V7</f>
        <v>2914.141004999999</v>
      </c>
      <c r="W17" s="169">
        <f>'Other India financials'!W7</f>
        <v>3347.347247000002</v>
      </c>
      <c r="X17" s="169">
        <f>'Other India financials'!X7</f>
        <v>3413.6454699999981</v>
      </c>
      <c r="Y17" s="169">
        <f>'Other India financials'!Y7</f>
        <v>3322.889703000003</v>
      </c>
      <c r="Z17" s="169">
        <f>'Other India financials'!Z7</f>
        <v>3014.3476359999995</v>
      </c>
      <c r="AA17" s="169">
        <f>'Other India financials'!AA7</f>
        <v>2715</v>
      </c>
      <c r="AB17" s="169">
        <f>'Other India financials'!AB7</f>
        <v>3071.8019900000036</v>
      </c>
      <c r="AC17" s="169">
        <f>'Other India financials'!AC7</f>
        <v>3001.3863289999954</v>
      </c>
      <c r="AD17" s="169">
        <f>'Other India financials'!AD7</f>
        <v>2859.2826810000001</v>
      </c>
      <c r="AE17" s="168">
        <f>'Other India financials'!AE7</f>
        <v>2932.341019</v>
      </c>
      <c r="AF17" s="168">
        <f>'Other India financials'!AF7</f>
        <v>2583.0922510000005</v>
      </c>
      <c r="AG17" s="168">
        <f>'Other India financials'!AG7</f>
        <v>2450.3505079999982</v>
      </c>
      <c r="AH17" s="168">
        <f>'Other India financials'!AH7</f>
        <v>2523.984344</v>
      </c>
      <c r="AI17" s="168">
        <f>'Other India financials'!AI7</f>
        <v>2471</v>
      </c>
      <c r="AJ17" s="168">
        <f>'Other India financials'!AJ7</f>
        <v>3302.3405690000022</v>
      </c>
      <c r="AK17" s="168">
        <f>'Other India financials'!AK7</f>
        <v>3011.8007570000013</v>
      </c>
      <c r="AL17" s="168">
        <f>'Other India financials'!AL7</f>
        <v>3513.7932100000003</v>
      </c>
      <c r="AM17" s="168">
        <f>'Other India financials'!AM7</f>
        <v>3424.4684389999989</v>
      </c>
      <c r="AN17" s="168">
        <f>'Other India financials'!AN7</f>
        <v>3150.9537069999983</v>
      </c>
      <c r="AO17" s="168">
        <f>'Other India financials'!AO7</f>
        <v>3344.5646820000015</v>
      </c>
      <c r="AP17" s="168">
        <f>'Other India financials'!AP7</f>
        <v>3229.5170680000001</v>
      </c>
      <c r="AQ17" s="168">
        <f>'Other India financials'!AQ7</f>
        <v>3779</v>
      </c>
      <c r="AR17" s="168">
        <f>'Other India financials'!AR7</f>
        <v>4357.5205129999968</v>
      </c>
      <c r="AS17" s="168">
        <f>'Other India financials'!AS7</f>
        <v>4773.5691250000027</v>
      </c>
      <c r="AT17" s="168">
        <f>'Other India financials'!AT7</f>
        <v>4927.0859599999994</v>
      </c>
      <c r="AU17" s="168">
        <f>'Other India financials'!AU7</f>
        <v>4983.1787260000028</v>
      </c>
      <c r="AV17" s="168">
        <f>'Other India financials'!AV7</f>
        <v>5172.8987422755572</v>
      </c>
      <c r="AW17" s="168">
        <f>'Other India financials'!AW7</f>
        <v>5526.1887403925384</v>
      </c>
      <c r="AX17" s="168">
        <f>'Other India financials'!AX7</f>
        <v>5860.4299759999994</v>
      </c>
      <c r="AY17" s="168">
        <f>'Other India financials'!AY7</f>
        <v>6073.4301899999991</v>
      </c>
      <c r="AZ17" s="168">
        <f>'Other India financials'!AZ7</f>
        <v>6383.5626940000038</v>
      </c>
      <c r="BA17" s="168">
        <f>'Other India financials'!BA7</f>
        <v>6565.5190680000014</v>
      </c>
      <c r="BB17" s="168">
        <f>'Other India financials'!BB7</f>
        <v>6867</v>
      </c>
      <c r="BC17" s="168">
        <f>'Other India financials'!BC7</f>
        <v>7203</v>
      </c>
      <c r="BD17" s="2"/>
      <c r="BE17" s="17"/>
      <c r="BF17" s="2"/>
      <c r="BG17" s="105"/>
      <c r="BH17" s="118">
        <f t="shared" ref="BH17:BH25" si="27">BG17*BJ$25</f>
        <v>0</v>
      </c>
      <c r="BI17" s="2"/>
      <c r="BJ17" s="118">
        <f>AH17-2995</f>
        <v>-471.01565600000004</v>
      </c>
      <c r="BK17" s="118">
        <f t="shared" si="24"/>
        <v>2995</v>
      </c>
      <c r="BL17" s="120">
        <f t="shared" si="25"/>
        <v>4.7465512907081342E-2</v>
      </c>
      <c r="BM17" s="2"/>
      <c r="BN17" s="2"/>
      <c r="BO17" s="2"/>
      <c r="BP17" s="2"/>
      <c r="BQ17" s="2"/>
      <c r="BR17" s="2"/>
      <c r="BS17" s="2"/>
      <c r="BT17" s="2"/>
      <c r="BU17" s="2"/>
      <c r="BV17" s="2"/>
      <c r="BW17" s="2"/>
      <c r="BX17" s="466">
        <f t="shared" ref="BX17:BX25" si="28">SUM(AT17:AW17)</f>
        <v>20609.352168668098</v>
      </c>
      <c r="BY17" s="4"/>
      <c r="BZ17" s="2"/>
      <c r="CA17" s="34"/>
      <c r="CB17" s="34"/>
      <c r="CC17" s="34"/>
      <c r="CD17" s="34"/>
      <c r="CE17" s="34"/>
      <c r="CF17" s="34"/>
      <c r="CG17" s="34"/>
      <c r="CH17" s="34"/>
      <c r="CI17" s="34">
        <f t="shared" ref="CI17:CI25" si="29">AW17/AW5</f>
        <v>0.50394023567047408</v>
      </c>
      <c r="CJ17" s="34">
        <f t="shared" ref="CJ17:CJ25" si="30">AX17/AX5</f>
        <v>0.50430004698293673</v>
      </c>
      <c r="CK17" s="34">
        <f t="shared" ref="CK17:CK25" si="31">AY17/AY5</f>
        <v>0.49751883729832919</v>
      </c>
      <c r="CL17" s="34">
        <f t="shared" ref="CL17:CL25" si="32">AZ17/AZ5</f>
        <v>0.50192675222990613</v>
      </c>
      <c r="CM17" s="34">
        <f t="shared" ref="CM17:CM25" si="33">BA17/BA5</f>
        <v>0.49908899237229193</v>
      </c>
      <c r="CN17" s="34">
        <f t="shared" si="26"/>
        <v>0.50234089246525238</v>
      </c>
      <c r="CO17" s="34">
        <f t="shared" si="26"/>
        <v>0.50296766985545704</v>
      </c>
      <c r="CQ17" s="74"/>
    </row>
    <row r="18" spans="1:95">
      <c r="A18" s="2" t="s">
        <v>743</v>
      </c>
      <c r="B18" s="179">
        <f>'Other India financials'!B16</f>
        <v>50</v>
      </c>
      <c r="C18" s="179">
        <f>'Other India financials'!C16</f>
        <v>116</v>
      </c>
      <c r="D18" s="179">
        <f>'Other India financials'!D16</f>
        <v>90</v>
      </c>
      <c r="E18" s="179">
        <f>'Other India financials'!E16</f>
        <v>208.74756399999984</v>
      </c>
      <c r="F18" s="179">
        <f>'Other India financials'!F16</f>
        <v>-23.307817000000405</v>
      </c>
      <c r="G18" s="179">
        <f>'Other India financials'!G16</f>
        <v>32.810306000000011</v>
      </c>
      <c r="H18" s="179">
        <f>'Other India financials'!H16</f>
        <v>146.88800599999922</v>
      </c>
      <c r="I18" s="179">
        <f>'Other India financials'!I16</f>
        <v>295.89420300000302</v>
      </c>
      <c r="J18" s="179">
        <f>'Other India financials'!J16</f>
        <v>760.32124399999998</v>
      </c>
      <c r="K18" s="179">
        <f>'Other India financials'!K16</f>
        <v>644.8709450000008</v>
      </c>
      <c r="L18" s="179">
        <f>'Other India financials'!L16</f>
        <v>969.9395669999999</v>
      </c>
      <c r="M18" s="179">
        <f>'Other India financials'!M16</f>
        <v>963.13938600000029</v>
      </c>
      <c r="N18" s="179">
        <f>'Other India financials'!N16</f>
        <v>1436.7268169999998</v>
      </c>
      <c r="O18" s="179">
        <f>'Other India financials'!O16</f>
        <v>1528.705486733001</v>
      </c>
      <c r="P18" s="179">
        <f>'Other India financials'!P16</f>
        <v>1706.7644829999997</v>
      </c>
      <c r="Q18" s="179">
        <f>'Other India financials'!Q16</f>
        <v>2078.4222019999988</v>
      </c>
      <c r="R18" s="179">
        <f>'Other India financials'!R16</f>
        <v>2408.0079910000013</v>
      </c>
      <c r="S18" s="179">
        <f>'Other India financials'!S16</f>
        <v>2343.1561359999969</v>
      </c>
      <c r="T18" s="179">
        <f>'Other India financials'!T16</f>
        <v>2474.2092850000026</v>
      </c>
      <c r="U18" s="179">
        <f>'Other India financials'!U16</f>
        <v>2750.4565199999997</v>
      </c>
      <c r="V18" s="179">
        <f>'Other India financials'!V16</f>
        <v>3010.7100689999997</v>
      </c>
      <c r="W18" s="179">
        <f>'Other India financials'!W16</f>
        <v>3029.5357459999987</v>
      </c>
      <c r="X18" s="179">
        <f>'Other India financials'!X16</f>
        <v>3025.8287670000027</v>
      </c>
      <c r="Y18" s="179">
        <f>'Other India financials'!Y16</f>
        <v>3152.8717449999931</v>
      </c>
      <c r="Z18" s="179">
        <f>'Other India financials'!Z16</f>
        <v>3299.8260079999991</v>
      </c>
      <c r="AA18" s="179">
        <f>'Other India financials'!AA16</f>
        <v>3517</v>
      </c>
      <c r="AB18" s="179">
        <f>'Other India financials'!AB16</f>
        <v>3708.4244909999979</v>
      </c>
      <c r="AC18" s="179">
        <f>'Other India financials'!AC16</f>
        <v>3701.3636019999976</v>
      </c>
      <c r="AD18" s="169">
        <f>'Other India financials'!AD16</f>
        <v>4010.3774549999998</v>
      </c>
      <c r="AE18" s="178">
        <f>'Other India financials'!AE16</f>
        <v>3960.009466999998</v>
      </c>
      <c r="AF18" s="168">
        <f>'Other India financials'!AF16</f>
        <v>3825.8353180000013</v>
      </c>
      <c r="AG18" s="168">
        <f>'Other India financials'!AG16</f>
        <v>3925.8858579999978</v>
      </c>
      <c r="AH18" s="168">
        <f>'Other India financials'!AH16</f>
        <v>5263.1006560000005</v>
      </c>
      <c r="AI18" s="168">
        <f>'Other India financials'!AI16</f>
        <v>5607</v>
      </c>
      <c r="AJ18" s="168">
        <f>'Other India financials'!AJ16</f>
        <v>5440.677483999998</v>
      </c>
      <c r="AK18" s="168">
        <f>'Other India financials'!AK16</f>
        <v>3648.1673410000021</v>
      </c>
      <c r="AL18" s="168">
        <f>'Other India financials'!AL16</f>
        <v>5041.1498350000002</v>
      </c>
      <c r="AM18" s="168">
        <f>'Other India financials'!AM16</f>
        <v>5350.9237969999995</v>
      </c>
      <c r="AN18" s="168">
        <f>'Other India financials'!AN16</f>
        <v>5291.4703479999989</v>
      </c>
      <c r="AO18" s="168">
        <f>'Other India financials'!AO16</f>
        <v>5105.0719160000044</v>
      </c>
      <c r="AP18" s="168">
        <f>'Other India financials'!AP16</f>
        <v>5420.7716569999993</v>
      </c>
      <c r="AQ18" s="168">
        <f>'Other India financials'!AQ16</f>
        <v>5314</v>
      </c>
      <c r="AR18" s="168">
        <f>'Other India financials'!AR16</f>
        <v>5318.8595919999971</v>
      </c>
      <c r="AS18" s="168">
        <f>'Other India financials'!AS16</f>
        <v>4952.0216600000058</v>
      </c>
      <c r="AT18" s="168">
        <f>'Other India financials'!AT16</f>
        <v>4779.2623769999991</v>
      </c>
      <c r="AU18" s="168">
        <f>'Other India financials'!AU16</f>
        <v>4351.539568000002</v>
      </c>
      <c r="AV18" s="168">
        <f>'Other India financials'!AV16</f>
        <v>4132.1344969999991</v>
      </c>
      <c r="AW18" s="168">
        <f>'Other India financials'!AW16</f>
        <v>4081.3691570000028</v>
      </c>
      <c r="AX18" s="168">
        <f>'Other India financials'!AX16</f>
        <v>4263.8057280000003</v>
      </c>
      <c r="AY18" s="168">
        <f>'Other India financials'!AY16</f>
        <v>4212.1457589999982</v>
      </c>
      <c r="AZ18" s="168">
        <f>'Other India financials'!AZ16</f>
        <v>4285.0463120000013</v>
      </c>
      <c r="BA18" s="168">
        <f>'Other India financials'!BA16</f>
        <v>4391.1461019999979</v>
      </c>
      <c r="BB18" s="168">
        <f>'Other India financials'!BB16</f>
        <v>4402</v>
      </c>
      <c r="BC18" s="168">
        <f>'Other India financials'!BC16</f>
        <v>4243</v>
      </c>
      <c r="BD18" s="2"/>
      <c r="BE18" s="17"/>
      <c r="BF18" s="2"/>
      <c r="BG18" s="105"/>
      <c r="BH18" s="118">
        <f t="shared" si="27"/>
        <v>0</v>
      </c>
      <c r="BI18" s="2"/>
      <c r="BJ18" s="118">
        <f>AH18-4943</f>
        <v>320.10065600000053</v>
      </c>
      <c r="BK18" s="118">
        <f t="shared" si="24"/>
        <v>4943</v>
      </c>
      <c r="BL18" s="120">
        <f t="shared" si="25"/>
        <v>0.23255231096445517</v>
      </c>
      <c r="BM18" s="2"/>
      <c r="BN18" s="2"/>
      <c r="BO18" s="2"/>
      <c r="BP18" s="2"/>
      <c r="BQ18" s="2"/>
      <c r="BR18" s="2"/>
      <c r="BS18" s="2"/>
      <c r="BT18" s="2"/>
      <c r="BU18" s="104">
        <f>AK18</f>
        <v>3648.1673410000021</v>
      </c>
      <c r="BV18" s="104">
        <v>5436</v>
      </c>
      <c r="BW18" s="104">
        <f>BV18-BU18</f>
        <v>1787.8326589999979</v>
      </c>
      <c r="BX18" s="466">
        <f t="shared" si="28"/>
        <v>17344.305599000003</v>
      </c>
      <c r="BY18" s="4"/>
      <c r="BZ18" s="2"/>
      <c r="CA18" s="34"/>
      <c r="CB18" s="34"/>
      <c r="CC18" s="34"/>
      <c r="CD18" s="34"/>
      <c r="CE18" s="34"/>
      <c r="CF18" s="34"/>
      <c r="CG18" s="34"/>
      <c r="CH18" s="34"/>
      <c r="CI18" s="34">
        <f t="shared" si="29"/>
        <v>0.55982393391332452</v>
      </c>
      <c r="CJ18" s="34">
        <f t="shared" si="30"/>
        <v>0.57593807120191076</v>
      </c>
      <c r="CK18" s="34">
        <f t="shared" si="31"/>
        <v>0.56053152893331637</v>
      </c>
      <c r="CL18" s="34">
        <f t="shared" si="32"/>
        <v>0.54675981884046609</v>
      </c>
      <c r="CM18" s="34">
        <f t="shared" si="33"/>
        <v>0.57076682714585014</v>
      </c>
      <c r="CN18" s="34">
        <f t="shared" si="26"/>
        <v>0.56646506241153005</v>
      </c>
      <c r="CO18" s="34">
        <f t="shared" si="26"/>
        <v>0.55931979963089906</v>
      </c>
      <c r="CQ18" s="74"/>
    </row>
    <row r="19" spans="1:95">
      <c r="A19" s="2" t="s">
        <v>744</v>
      </c>
      <c r="B19" s="179">
        <f>'Other India financials'!B26</f>
        <v>2303</v>
      </c>
      <c r="C19" s="179">
        <f>'Other India financials'!C26</f>
        <v>2371</v>
      </c>
      <c r="D19" s="179">
        <f>'Other India financials'!D26</f>
        <v>2008</v>
      </c>
      <c r="E19" s="179">
        <f>'Other India financials'!E26</f>
        <v>1630.6641220000047</v>
      </c>
      <c r="F19" s="179">
        <f>'Other India financials'!F26</f>
        <v>1962.8159879999998</v>
      </c>
      <c r="G19" s="179">
        <f>'Other India financials'!G26</f>
        <v>2147.9859830000009</v>
      </c>
      <c r="H19" s="179">
        <f>'Other India financials'!H26</f>
        <v>2297.7382050000037</v>
      </c>
      <c r="I19" s="179">
        <f>'Other India financials'!I26</f>
        <v>2952.4043179999921</v>
      </c>
      <c r="J19" s="179">
        <f>'Other India financials'!J26</f>
        <v>2764.6532679999991</v>
      </c>
      <c r="K19" s="179">
        <f>'Other India financials'!K26</f>
        <v>3242.7247629999993</v>
      </c>
      <c r="L19" s="179">
        <f>'Other India financials'!L26</f>
        <v>4138.6221059999971</v>
      </c>
      <c r="M19" s="179">
        <f>'Other India financials'!M26</f>
        <v>3661.4259800000054</v>
      </c>
      <c r="N19" s="179">
        <f>'Other India financials'!N26</f>
        <v>3223.031563999999</v>
      </c>
      <c r="O19" s="179">
        <f>'Other India financials'!O26</f>
        <v>4102.3065290453078</v>
      </c>
      <c r="P19" s="179">
        <f>'Other India financials'!P26</f>
        <v>3567.568563161537</v>
      </c>
      <c r="Q19" s="179">
        <f>'Other India financials'!Q26</f>
        <v>3078.5376470612455</v>
      </c>
      <c r="R19" s="179">
        <f>'Other India financials'!R26</f>
        <v>6892.5315600000049</v>
      </c>
      <c r="S19" s="179">
        <f>'Other India financials'!S26</f>
        <v>7880.1648430000023</v>
      </c>
      <c r="T19" s="179">
        <f>'Other India financials'!T26</f>
        <v>7511.3955169999917</v>
      </c>
      <c r="U19" s="179">
        <f>'Other India financials'!U26</f>
        <v>8043.2942210000201</v>
      </c>
      <c r="V19" s="179">
        <f>'Other India financials'!V26</f>
        <v>7732.7619159999977</v>
      </c>
      <c r="W19" s="179">
        <f>'Other India financials'!W26</f>
        <v>8440.1476352050158</v>
      </c>
      <c r="X19" s="179">
        <f>'Other India financials'!X26</f>
        <v>8287.2352387639785</v>
      </c>
      <c r="Y19" s="179">
        <f>'Other India financials'!Y26</f>
        <v>9423.9507818149905</v>
      </c>
      <c r="Z19" s="179">
        <f>'Other India financials'!Z26</f>
        <v>9342.4755732199992</v>
      </c>
      <c r="AA19" s="179">
        <f>'Other India financials'!AA26</f>
        <v>9881</v>
      </c>
      <c r="AB19" s="179">
        <f>'Other India financials'!AB26</f>
        <v>11654.129906513004</v>
      </c>
      <c r="AC19" s="179">
        <f>'Other India financials'!AC26</f>
        <v>11418.094110540016</v>
      </c>
      <c r="AD19" s="169">
        <f>'Other India financials'!AD26</f>
        <v>10425.287211888002</v>
      </c>
      <c r="AE19" s="178">
        <f>'Other India financials'!AE26</f>
        <v>10758.819605810984</v>
      </c>
      <c r="AF19" s="168">
        <f>'Other India financials'!AF26</f>
        <v>9874.4238554099884</v>
      </c>
      <c r="AG19" s="168">
        <f>'Other India financials'!AG26</f>
        <v>9586.7881703230541</v>
      </c>
      <c r="AH19" s="168">
        <f>'Other India financials'!AH26</f>
        <v>7655.1305078320092</v>
      </c>
      <c r="AI19" s="168">
        <f>'Other India financials'!AI26</f>
        <v>9366</v>
      </c>
      <c r="AJ19" s="168">
        <f>'Other India financials'!AJ26</f>
        <v>12125.214719066998</v>
      </c>
      <c r="AK19" s="168">
        <f>'Other India financials'!AK26</f>
        <v>13466.498654933986</v>
      </c>
      <c r="AL19" s="168">
        <f>'Other India financials'!AL26</f>
        <v>12710.870055566998</v>
      </c>
      <c r="AM19" s="168">
        <f>'Other India financials'!AM26</f>
        <v>13377.363453294993</v>
      </c>
      <c r="AN19" s="168">
        <f>'Other India financials'!AN26</f>
        <v>14017.881118295978</v>
      </c>
      <c r="AO19" s="168">
        <f>'Other India financials'!AO26</f>
        <v>14867.042365331066</v>
      </c>
      <c r="AP19" s="168">
        <f>'Other India financials'!AP26</f>
        <v>14684.871011025001</v>
      </c>
      <c r="AQ19" s="168">
        <f>'Other India financials'!AQ26</f>
        <v>15922</v>
      </c>
      <c r="AR19" s="168">
        <f>'Other India financials'!AR26</f>
        <v>15823.695888786993</v>
      </c>
      <c r="AS19" s="168">
        <f>'Other India financials'!AS26</f>
        <v>16450.991253124972</v>
      </c>
      <c r="AT19" s="168">
        <f>'Other India financials'!AT26</f>
        <v>17011.212316893005</v>
      </c>
      <c r="AU19" s="168">
        <f>'Other India financials'!AU26</f>
        <v>18293.413502946998</v>
      </c>
      <c r="AV19" s="168">
        <f>'Other India financials'!AV26</f>
        <v>19049.598001704137</v>
      </c>
      <c r="AW19" s="168">
        <f>'Other India financials'!AW26</f>
        <v>19680.07435161803</v>
      </c>
      <c r="AX19" s="168">
        <f>'Other India financials'!AX26</f>
        <v>19979.335158333994</v>
      </c>
      <c r="AY19" s="168">
        <f>'Other India financials'!AY26</f>
        <v>20577.683013659003</v>
      </c>
      <c r="AZ19" s="168">
        <f>'Other India financials'!AZ26</f>
        <v>20625.113802918018</v>
      </c>
      <c r="BA19" s="168">
        <f>'Other India financials'!BA26</f>
        <v>20830.155666282943</v>
      </c>
      <c r="BB19" s="168">
        <f>'Other India financials'!BB26</f>
        <v>19855</v>
      </c>
      <c r="BC19" s="168">
        <f>'Other India financials'!BC26</f>
        <v>20208</v>
      </c>
      <c r="BD19" s="2"/>
      <c r="BE19" s="17"/>
      <c r="BF19" s="2"/>
      <c r="BG19" s="105"/>
      <c r="BH19" s="118">
        <f t="shared" si="27"/>
        <v>0</v>
      </c>
      <c r="BI19" s="2"/>
      <c r="BJ19" s="118">
        <f>AH19-9627</f>
        <v>-1971.8694921679908</v>
      </c>
      <c r="BK19" s="118">
        <f t="shared" si="24"/>
        <v>9627</v>
      </c>
      <c r="BL19" s="120">
        <f t="shared" si="25"/>
        <v>-7.6572203303685638E-2</v>
      </c>
      <c r="BM19" s="2"/>
      <c r="BN19" s="2"/>
      <c r="BO19" s="2"/>
      <c r="BP19" s="2"/>
      <c r="BQ19" s="2"/>
      <c r="BR19" s="2"/>
      <c r="BS19" s="2"/>
      <c r="BT19" s="2"/>
      <c r="BU19" s="104">
        <v>74622</v>
      </c>
      <c r="BV19" s="104">
        <v>76411</v>
      </c>
      <c r="BW19" s="104">
        <f>BV19-BU19</f>
        <v>1789</v>
      </c>
      <c r="BX19" s="466">
        <f t="shared" si="28"/>
        <v>74034.298173162169</v>
      </c>
      <c r="BY19" s="4"/>
      <c r="BZ19" s="2"/>
      <c r="CA19" s="34"/>
      <c r="CB19" s="34"/>
      <c r="CC19" s="34"/>
      <c r="CD19" s="34"/>
      <c r="CE19" s="34"/>
      <c r="CF19" s="34"/>
      <c r="CG19" s="34"/>
      <c r="CH19" s="34"/>
      <c r="CI19" s="34">
        <f t="shared" si="29"/>
        <v>0.41129085391226028</v>
      </c>
      <c r="CJ19" s="34">
        <f t="shared" si="30"/>
        <v>0.39527664271923357</v>
      </c>
      <c r="CK19" s="34">
        <f t="shared" si="31"/>
        <v>0.40269351648669321</v>
      </c>
      <c r="CL19" s="34">
        <f t="shared" si="32"/>
        <v>0.39703376109904198</v>
      </c>
      <c r="CM19" s="34">
        <f t="shared" si="33"/>
        <v>0.38139221355180697</v>
      </c>
      <c r="CN19" s="34">
        <f t="shared" si="26"/>
        <v>0.36254907331324754</v>
      </c>
      <c r="CO19" s="34">
        <f t="shared" si="26"/>
        <v>0.35731588718946161</v>
      </c>
      <c r="CQ19" s="74"/>
    </row>
    <row r="20" spans="1:95">
      <c r="A20" s="2" t="s">
        <v>745</v>
      </c>
      <c r="B20" s="179">
        <f>'Other India financials'!B35</f>
        <v>8585</v>
      </c>
      <c r="C20" s="179">
        <f>'Other India financials'!C35</f>
        <v>8902</v>
      </c>
      <c r="D20" s="179">
        <f>'Other India financials'!D35</f>
        <v>9110</v>
      </c>
      <c r="E20" s="179">
        <f>'Other India financials'!E35</f>
        <v>3925.5152869799999</v>
      </c>
      <c r="F20" s="179">
        <f>'Other India financials'!F35</f>
        <v>3690.8282640599987</v>
      </c>
      <c r="G20" s="179">
        <f>'Other India financials'!G35</f>
        <v>4022.2252921200015</v>
      </c>
      <c r="H20" s="179">
        <f>'Other India financials'!H35</f>
        <v>4099.5682715399935</v>
      </c>
      <c r="I20" s="179">
        <f>'Other India financials'!I35</f>
        <v>4382.6873235599987</v>
      </c>
      <c r="J20" s="179">
        <f>'Other India financials'!J35</f>
        <v>5745.3156920000001</v>
      </c>
      <c r="K20" s="179">
        <f>'Other India financials'!K35</f>
        <v>5420.5985600000022</v>
      </c>
      <c r="L20" s="179">
        <f>'Other India financials'!L35</f>
        <v>5344.0169769999993</v>
      </c>
      <c r="M20" s="179">
        <f>'Other India financials'!M35</f>
        <v>6340.1657220000016</v>
      </c>
      <c r="N20" s="179">
        <f>'Other India financials'!N35</f>
        <v>6072.8441559999992</v>
      </c>
      <c r="O20" s="179">
        <f>'Other India financials'!O35</f>
        <v>6355.4853419999981</v>
      </c>
      <c r="P20" s="179">
        <f>'Other India financials'!P35</f>
        <v>6549.9916770000036</v>
      </c>
      <c r="Q20" s="179">
        <f>'Other India financials'!Q35</f>
        <v>6765.5202020000015</v>
      </c>
      <c r="R20" s="179">
        <f>'Other India financials'!R35</f>
        <v>6790.9632510000001</v>
      </c>
      <c r="S20" s="179">
        <f>'Other India financials'!S35</f>
        <v>6282.129965000001</v>
      </c>
      <c r="T20" s="179">
        <f>'Other India financials'!T35</f>
        <v>6590.3041179999982</v>
      </c>
      <c r="U20" s="179">
        <f>'Other India financials'!U35</f>
        <v>7088.4290570000012</v>
      </c>
      <c r="V20" s="179">
        <f>'Other India financials'!V35</f>
        <v>6837.9277280000015</v>
      </c>
      <c r="W20" s="179">
        <f>'Other India financials'!W35</f>
        <v>7105.5237369999986</v>
      </c>
      <c r="X20" s="179">
        <f>'Other India financials'!X35</f>
        <v>7290.922010000002</v>
      </c>
      <c r="Y20" s="179">
        <f>'Other India financials'!Y35</f>
        <v>7942.9838569999965</v>
      </c>
      <c r="Z20" s="179">
        <f>'Other India financials'!Z35</f>
        <v>7954.3698119999999</v>
      </c>
      <c r="AA20" s="179">
        <f>'Other India financials'!AA35</f>
        <v>8130</v>
      </c>
      <c r="AB20" s="179">
        <f>'Other India financials'!AB35</f>
        <v>8317.9803560000018</v>
      </c>
      <c r="AC20" s="179">
        <f>'Other India financials'!AC35</f>
        <v>8144.1271499999966</v>
      </c>
      <c r="AD20" s="169">
        <f>'Other India financials'!AD35</f>
        <v>7814.6625280000026</v>
      </c>
      <c r="AE20" s="178">
        <f>'Other India financials'!AE35</f>
        <v>7968.1308879999924</v>
      </c>
      <c r="AF20" s="168">
        <f>'Other India financials'!AF35</f>
        <v>8509.6172020000049</v>
      </c>
      <c r="AG20" s="168">
        <f>'Other India financials'!AG35</f>
        <v>8167.0138709999956</v>
      </c>
      <c r="AH20" s="168">
        <f>'Other India financials'!AH35</f>
        <v>10055.068471999999</v>
      </c>
      <c r="AI20" s="168">
        <f>'Other India financials'!AI35</f>
        <v>9268</v>
      </c>
      <c r="AJ20" s="168">
        <f>'Other India financials'!AJ35</f>
        <v>8782.1744990000043</v>
      </c>
      <c r="AK20" s="168">
        <f>'Other India financials'!AK35</f>
        <v>9031.6390199999987</v>
      </c>
      <c r="AL20" s="168">
        <f>'Other India financials'!AL35</f>
        <v>8742.0220379999992</v>
      </c>
      <c r="AM20" s="168">
        <f>'Other India financials'!AM35</f>
        <v>9293.0936160000001</v>
      </c>
      <c r="AN20" s="168">
        <f>'Other India financials'!AN35</f>
        <v>0</v>
      </c>
      <c r="AO20" s="168">
        <f>'Other India financials'!AO35</f>
        <v>0</v>
      </c>
      <c r="AP20" s="168">
        <f>'Other India financials'!AP35</f>
        <v>0</v>
      </c>
      <c r="AQ20" s="168">
        <f>'Other India financials'!AQ35</f>
        <v>0</v>
      </c>
      <c r="AR20" s="168">
        <f>'Other India financials'!AR35</f>
        <v>0</v>
      </c>
      <c r="AS20" s="168">
        <f>'Other India financials'!AS35</f>
        <v>0</v>
      </c>
      <c r="AT20" s="168">
        <f>'Other India financials'!AT35</f>
        <v>0</v>
      </c>
      <c r="AU20" s="168">
        <f>'Other India financials'!AU35</f>
        <v>0</v>
      </c>
      <c r="AV20" s="168">
        <f>'Other India financials'!AV35</f>
        <v>0</v>
      </c>
      <c r="AW20" s="168">
        <f>'Other India financials'!AW35</f>
        <v>0</v>
      </c>
      <c r="AX20" s="168">
        <f>'Other India financials'!AX35</f>
        <v>0</v>
      </c>
      <c r="AY20" s="168">
        <f>'Other India financials'!AY35</f>
        <v>0</v>
      </c>
      <c r="AZ20" s="168">
        <f>'Other India financials'!AZ35</f>
        <v>0</v>
      </c>
      <c r="BA20" s="168">
        <f>'Other India financials'!BA35</f>
        <v>0</v>
      </c>
      <c r="BB20" s="168">
        <f>'Other India financials'!BB35</f>
        <v>0</v>
      </c>
      <c r="BC20" s="168">
        <f>'Other India financials'!BC35</f>
        <v>0</v>
      </c>
      <c r="BD20" s="2"/>
      <c r="BE20" s="2"/>
      <c r="BF20" s="2"/>
      <c r="BG20" s="105">
        <f>AH20/(AH16+AH$22+AH20)</f>
        <v>0.13773493789823552</v>
      </c>
      <c r="BH20" s="118">
        <f t="shared" si="27"/>
        <v>2082.9654658350155</v>
      </c>
      <c r="BI20" s="2"/>
      <c r="BJ20" s="118">
        <f>AH20-8829</f>
        <v>1226.068471999999</v>
      </c>
      <c r="BK20" s="118">
        <f t="shared" si="24"/>
        <v>8829</v>
      </c>
      <c r="BL20" s="120">
        <f t="shared" si="25"/>
        <v>0.12979926751355131</v>
      </c>
      <c r="BM20" s="2"/>
      <c r="BN20" s="2"/>
      <c r="BO20" s="2"/>
      <c r="BP20" s="2"/>
      <c r="BQ20" s="2"/>
      <c r="BR20" s="2"/>
      <c r="BS20" s="2"/>
      <c r="BT20" s="2"/>
      <c r="BU20" s="2"/>
      <c r="BV20" s="2"/>
      <c r="BW20" s="2"/>
      <c r="BX20" s="466">
        <f t="shared" si="28"/>
        <v>0</v>
      </c>
      <c r="BY20" s="4"/>
      <c r="BZ20" s="2"/>
      <c r="CA20" s="34"/>
      <c r="CB20" s="34"/>
      <c r="CC20" s="34"/>
      <c r="CD20" s="34"/>
      <c r="CE20" s="34"/>
      <c r="CF20" s="34"/>
      <c r="CG20" s="34"/>
      <c r="CH20" s="34"/>
      <c r="CI20" s="34" t="e">
        <f t="shared" si="29"/>
        <v>#DIV/0!</v>
      </c>
      <c r="CJ20" s="34" t="e">
        <f t="shared" si="30"/>
        <v>#DIV/0!</v>
      </c>
      <c r="CK20" s="34" t="e">
        <f t="shared" si="31"/>
        <v>#DIV/0!</v>
      </c>
      <c r="CL20" s="34" t="e">
        <f t="shared" si="32"/>
        <v>#DIV/0!</v>
      </c>
      <c r="CM20" s="34" t="e">
        <f t="shared" si="33"/>
        <v>#DIV/0!</v>
      </c>
      <c r="CN20" s="34" t="e">
        <f t="shared" si="26"/>
        <v>#DIV/0!</v>
      </c>
      <c r="CO20" s="34" t="e">
        <f t="shared" si="26"/>
        <v>#DIV/0!</v>
      </c>
      <c r="CQ20" s="74"/>
    </row>
    <row r="21" spans="1:95">
      <c r="A21" s="2" t="s">
        <v>746</v>
      </c>
      <c r="B21" s="179">
        <f>'International Financials'!B7</f>
        <v>0</v>
      </c>
      <c r="C21" s="179">
        <f>'International Financials'!C7</f>
        <v>0</v>
      </c>
      <c r="D21" s="179">
        <f>'International Financials'!D7</f>
        <v>0</v>
      </c>
      <c r="E21" s="179">
        <f>'International Financials'!E7</f>
        <v>0</v>
      </c>
      <c r="F21" s="179">
        <f>'International Financials'!F7</f>
        <v>-432</v>
      </c>
      <c r="G21" s="179">
        <f>'International Financials'!G7</f>
        <v>-381.5</v>
      </c>
      <c r="H21" s="179">
        <f>'International Financials'!H7</f>
        <v>-110</v>
      </c>
      <c r="I21" s="179">
        <f>'International Financials'!I7</f>
        <v>-11</v>
      </c>
      <c r="J21" s="179">
        <f>'International Financials'!J7</f>
        <v>164.12319100000033</v>
      </c>
      <c r="K21" s="179">
        <f>'International Financials'!K7</f>
        <v>263.66125399999953</v>
      </c>
      <c r="L21" s="179">
        <f>'International Financials'!L7</f>
        <v>313.06902899999943</v>
      </c>
      <c r="M21" s="179">
        <f>'International Financials'!M7</f>
        <v>295.5549890000043</v>
      </c>
      <c r="N21" s="179">
        <f>'International Financials'!N7</f>
        <v>233.40401799999935</v>
      </c>
      <c r="O21" s="179">
        <f>'International Financials'!O7</f>
        <v>107.29849800000071</v>
      </c>
      <c r="P21" s="179">
        <f>'International Financials'!P7</f>
        <v>-270.74933699999661</v>
      </c>
      <c r="Q21" s="179">
        <f>'International Financials'!Q7</f>
        <v>-265.6871690000047</v>
      </c>
      <c r="R21" s="179">
        <f>'International Financials'!R7</f>
        <v>-475.53604100000013</v>
      </c>
      <c r="S21" s="179">
        <f>'International Financials'!S7</f>
        <v>-241.94401799999986</v>
      </c>
      <c r="T21" s="179">
        <f>'International Financials'!T7</f>
        <v>-370.655717000001</v>
      </c>
      <c r="U21" s="179">
        <f>'International Financials'!U7</f>
        <v>287.48812300000054</v>
      </c>
      <c r="V21" s="179">
        <f>'International Financials'!V7</f>
        <v>-25.817163999999593</v>
      </c>
      <c r="W21" s="179">
        <f>'International Financials'!W7</f>
        <v>209.74431267199998</v>
      </c>
      <c r="X21" s="179">
        <f>'International Financials'!X7</f>
        <v>161.58074008299582</v>
      </c>
      <c r="Y21" s="179">
        <f>'International Financials'!Y7</f>
        <v>-107.9901743820011</v>
      </c>
      <c r="Z21" s="179">
        <f>'International Financials'!Z7</f>
        <v>-62.24993106799991</v>
      </c>
      <c r="AA21" s="179">
        <f>'International Financials'!AA7</f>
        <v>-15</v>
      </c>
      <c r="AB21" s="179">
        <f>'International Financials'!AB7</f>
        <v>18.144777342000225</v>
      </c>
      <c r="AC21" s="179">
        <f>'International Financials'!AC7</f>
        <v>66.918624851000232</v>
      </c>
      <c r="AD21" s="169">
        <f>'International Financials'!AD7</f>
        <v>9.994731799999613</v>
      </c>
      <c r="AE21" s="178">
        <f>'International Financials'!AE7</f>
        <v>30</v>
      </c>
      <c r="AF21" s="168">
        <f>'International Financials'!AF7</f>
        <v>41.809687695999855</v>
      </c>
      <c r="AG21" s="168">
        <f>'International Financials'!AG7</f>
        <v>44.628641189001655</v>
      </c>
      <c r="AH21" s="168">
        <f>'International Financials'!AH7</f>
        <v>92</v>
      </c>
      <c r="AI21" s="168">
        <f>'International Financials'!AI7</f>
        <v>84</v>
      </c>
      <c r="AJ21" s="168">
        <f>'International Financials'!AJ7</f>
        <v>106.05340315399951</v>
      </c>
      <c r="AK21" s="168">
        <f>'International Financials'!AK7</f>
        <v>146.96209258700219</v>
      </c>
      <c r="AL21" s="168">
        <f>'International Financials'!AL7</f>
        <v>98.239024370000038</v>
      </c>
      <c r="AM21" s="168">
        <f>'International Financials'!AM7</f>
        <v>116.03673861700031</v>
      </c>
      <c r="AN21" s="168">
        <f>'International Financials'!AN7</f>
        <v>38.822074347999546</v>
      </c>
      <c r="AO21" s="168">
        <f>'International Financials'!AO7</f>
        <v>-121.6531217290003</v>
      </c>
      <c r="AP21" s="168">
        <f>'International Financials'!AP7</f>
        <v>-110.69604768600004</v>
      </c>
      <c r="AQ21" s="168">
        <f>'International Financials'!AQ7</f>
        <v>-141.33020668699976</v>
      </c>
      <c r="AR21" s="168">
        <f>'International Financials'!AR7</f>
        <v>-208.7894512840013</v>
      </c>
      <c r="AS21" s="168">
        <f>'International Financials'!AS7</f>
        <v>-160</v>
      </c>
      <c r="AT21" s="168">
        <f>'International Financials'!AT7</f>
        <v>-108.08195985200007</v>
      </c>
      <c r="AU21" s="168">
        <f>'International Financials'!AU7</f>
        <v>-140.71367471700103</v>
      </c>
      <c r="AV21" s="168">
        <f>'International Financials'!AV7</f>
        <v>-131.09308721799846</v>
      </c>
      <c r="AW21" s="168">
        <f>'International Financials'!AW7</f>
        <v>-138.39178903500101</v>
      </c>
      <c r="AX21" s="168">
        <f>'International Financials'!AX7</f>
        <v>-112.41179045599984</v>
      </c>
      <c r="AY21" s="168">
        <f>'International Financials'!AY7</f>
        <v>-119.8444728290001</v>
      </c>
      <c r="AZ21" s="168">
        <f>'International Financials'!AZ7</f>
        <v>-151.0451155640003</v>
      </c>
      <c r="BA21" s="168">
        <f>'International Financials'!BA7</f>
        <v>-265.49376133099986</v>
      </c>
      <c r="BB21" s="168">
        <f>'International Financials'!BB7</f>
        <v>-166.15</v>
      </c>
      <c r="BC21" s="168">
        <f>'International Financials'!BC7</f>
        <v>0</v>
      </c>
      <c r="BD21" s="2"/>
      <c r="BE21" s="2"/>
      <c r="BF21" s="2"/>
      <c r="BG21" s="105"/>
      <c r="BH21" s="118">
        <f t="shared" si="27"/>
        <v>0</v>
      </c>
      <c r="BI21" s="2"/>
      <c r="BJ21" s="118">
        <f>AH21-5</f>
        <v>87</v>
      </c>
      <c r="BK21" s="118">
        <f t="shared" si="24"/>
        <v>5</v>
      </c>
      <c r="BL21" s="120">
        <f t="shared" si="25"/>
        <v>-0.49973645115717924</v>
      </c>
      <c r="BM21" s="2"/>
      <c r="BN21" s="2"/>
      <c r="BO21" s="2"/>
      <c r="BP21" s="2"/>
      <c r="BQ21" s="2"/>
      <c r="BR21" s="2"/>
      <c r="BS21" s="2"/>
      <c r="BT21" s="2"/>
      <c r="BU21" s="2"/>
      <c r="BV21" s="2"/>
      <c r="BW21" s="2"/>
      <c r="BX21" s="466">
        <f t="shared" si="28"/>
        <v>-518.28051082200056</v>
      </c>
      <c r="BY21" s="4"/>
      <c r="BZ21" s="2"/>
      <c r="CA21" s="34"/>
      <c r="CB21" s="34"/>
      <c r="CC21" s="34"/>
      <c r="CD21" s="34"/>
      <c r="CE21" s="34"/>
      <c r="CF21" s="34"/>
      <c r="CG21" s="34"/>
      <c r="CH21" s="34"/>
      <c r="CI21" s="34">
        <f t="shared" si="29"/>
        <v>-0.17178886090978307</v>
      </c>
      <c r="CJ21" s="34">
        <f t="shared" si="30"/>
        <v>-0.12039182364555859</v>
      </c>
      <c r="CK21" s="34">
        <f t="shared" si="31"/>
        <v>-0.12847626143462007</v>
      </c>
      <c r="CL21" s="34">
        <f t="shared" si="32"/>
        <v>-0.15979645721440111</v>
      </c>
      <c r="CM21" s="34">
        <f t="shared" si="33"/>
        <v>-0.27616911107031783</v>
      </c>
      <c r="CN21" s="34">
        <f t="shared" si="26"/>
        <v>-0.17661440340154133</v>
      </c>
      <c r="CO21" s="34" t="e">
        <f t="shared" si="26"/>
        <v>#DIV/0!</v>
      </c>
      <c r="CQ21" s="74"/>
    </row>
    <row r="22" spans="1:95">
      <c r="A22" s="2" t="s">
        <v>747</v>
      </c>
      <c r="B22" s="179">
        <f>'International Financials'!B20</f>
        <v>10996.2</v>
      </c>
      <c r="C22" s="179">
        <f>'International Financials'!C20</f>
        <v>12204</v>
      </c>
      <c r="D22" s="179">
        <f>'International Financials'!D20</f>
        <v>14382</v>
      </c>
      <c r="E22" s="179">
        <f>'International Financials'!E20</f>
        <v>15138.4</v>
      </c>
      <c r="F22" s="179">
        <f>'International Financials'!F20</f>
        <v>14850</v>
      </c>
      <c r="G22" s="179">
        <f>'International Financials'!G20</f>
        <v>16241</v>
      </c>
      <c r="H22" s="179">
        <f>'International Financials'!H20</f>
        <v>16500</v>
      </c>
      <c r="I22" s="179">
        <f>'International Financials'!I20</f>
        <v>15675</v>
      </c>
      <c r="J22" s="179">
        <f>'International Financials'!J20</f>
        <v>15898.915194000003</v>
      </c>
      <c r="K22" s="179">
        <f>'International Financials'!K20</f>
        <v>19004.457906000003</v>
      </c>
      <c r="L22" s="179">
        <f>'International Financials'!L20</f>
        <v>18652.376828000015</v>
      </c>
      <c r="M22" s="179">
        <f>'International Financials'!M20</f>
        <v>17849.892122999983</v>
      </c>
      <c r="N22" s="179">
        <f>'International Financials'!N20</f>
        <v>16957.623412000001</v>
      </c>
      <c r="O22" s="179">
        <f>'International Financials'!O20</f>
        <v>16309.51464400001</v>
      </c>
      <c r="P22" s="179">
        <f>'International Financials'!P20</f>
        <v>14953.149932999971</v>
      </c>
      <c r="Q22" s="179">
        <f>'International Financials'!Q20</f>
        <v>12901.380716999978</v>
      </c>
      <c r="R22" s="179">
        <f>'International Financials'!R20</f>
        <v>12673.633989000004</v>
      </c>
      <c r="S22" s="179">
        <f>'International Financials'!S20</f>
        <v>12695.042388999989</v>
      </c>
      <c r="T22" s="179">
        <f>'International Financials'!T20</f>
        <v>13286.648837999986</v>
      </c>
      <c r="U22" s="179">
        <f>'International Financials'!U20</f>
        <v>14233.245731999988</v>
      </c>
      <c r="V22" s="179">
        <f>'International Financials'!V20</f>
        <v>13998.263753999992</v>
      </c>
      <c r="W22" s="179">
        <f>'International Financials'!W20</f>
        <v>12247.189157559995</v>
      </c>
      <c r="X22" s="179">
        <f>'International Financials'!X20</f>
        <v>12945.463315674973</v>
      </c>
      <c r="Y22" s="179">
        <f>'International Financials'!Y20</f>
        <v>13065.317436425008</v>
      </c>
      <c r="Z22" s="179">
        <f>'International Financials'!Z20</f>
        <v>13616.109291279994</v>
      </c>
      <c r="AA22" s="179">
        <f>'International Financials'!AA20</f>
        <v>16814</v>
      </c>
      <c r="AB22" s="179">
        <f>'International Financials'!AB20</f>
        <v>18187.919616880979</v>
      </c>
      <c r="AC22" s="179">
        <f>'International Financials'!AC20</f>
        <v>17861.326660631566</v>
      </c>
      <c r="AD22" s="169">
        <f>'International Financials'!AD20</f>
        <v>19220.899901304449</v>
      </c>
      <c r="AE22" s="178">
        <f>'International Financials'!AE20</f>
        <v>20934.255039373929</v>
      </c>
      <c r="AF22" s="168">
        <f>'International Financials'!AF20</f>
        <v>21868.119607931985</v>
      </c>
      <c r="AG22" s="168">
        <f>'International Financials'!AG20</f>
        <v>21608.266769026875</v>
      </c>
      <c r="AH22" s="168">
        <f>'International Financials'!AH20</f>
        <v>24205.991842561514</v>
      </c>
      <c r="AI22" s="168">
        <f>'International Financials'!AI20</f>
        <v>26082</v>
      </c>
      <c r="AJ22" s="168">
        <f>'International Financials'!AJ20</f>
        <v>28330.852402844761</v>
      </c>
      <c r="AK22" s="168">
        <f>'International Financials'!AK20</f>
        <v>28640.351451533032</v>
      </c>
      <c r="AL22" s="168">
        <f>'International Financials'!AL20</f>
        <v>28425.237581814989</v>
      </c>
      <c r="AM22" s="168">
        <f>'International Financials'!AM20</f>
        <v>32452.604396361967</v>
      </c>
      <c r="AN22" s="168">
        <f>'International Financials'!AN20</f>
        <v>35852.111383891999</v>
      </c>
      <c r="AO22" s="168">
        <f>'International Financials'!AO20</f>
        <v>36250.037016255985</v>
      </c>
      <c r="AP22" s="168">
        <f>'International Financials'!AP20</f>
        <v>39272.835667117004</v>
      </c>
      <c r="AQ22" s="168">
        <f>'International Financials'!AQ20</f>
        <v>41743.257718275971</v>
      </c>
      <c r="AR22" s="168">
        <f>'International Financials'!AR20</f>
        <v>45189.595548540012</v>
      </c>
      <c r="AS22" s="168">
        <f>'International Financials'!AS20</f>
        <v>45865.058372405023</v>
      </c>
      <c r="AT22" s="168">
        <f>'International Financials'!AT20</f>
        <v>47381.327488894975</v>
      </c>
      <c r="AU22" s="168">
        <f>'International Financials'!AU20</f>
        <v>51251.757737889995</v>
      </c>
      <c r="AV22" s="168">
        <f>'International Financials'!AV20</f>
        <v>54467.657951169866</v>
      </c>
      <c r="AW22" s="168">
        <f>'International Financials'!AW20</f>
        <v>54180.045980566138</v>
      </c>
      <c r="AX22" s="168">
        <f>'International Financials'!AX20</f>
        <v>56030.824992768969</v>
      </c>
      <c r="AY22" s="168">
        <f>'International Financials'!AY20</f>
        <v>51157.696750332107</v>
      </c>
      <c r="AZ22" s="168">
        <f>'International Financials'!AZ20</f>
        <v>50590.337462133022</v>
      </c>
      <c r="BA22" s="168">
        <f>'International Financials'!BA20</f>
        <v>43236.906250850938</v>
      </c>
      <c r="BB22" s="168">
        <f>'International Financials'!BB20</f>
        <v>43616.529097564257</v>
      </c>
      <c r="BC22" s="168">
        <f>'International Financials'!BC20</f>
        <v>47258.500766475518</v>
      </c>
      <c r="BD22" s="2"/>
      <c r="BE22" s="2"/>
      <c r="BF22" s="2"/>
      <c r="BG22" s="105">
        <f>AH22/(AH16+AH$22+AH20)</f>
        <v>0.3315751446630632</v>
      </c>
      <c r="BH22" s="118">
        <f t="shared" si="27"/>
        <v>5014.410912739505</v>
      </c>
      <c r="BI22" s="2"/>
      <c r="BJ22" s="118"/>
      <c r="BK22" s="118"/>
      <c r="BL22" s="85"/>
      <c r="BM22" s="2"/>
      <c r="BN22" s="2"/>
      <c r="BO22" s="2"/>
      <c r="BP22" s="2"/>
      <c r="BQ22" s="2"/>
      <c r="BR22" s="2"/>
      <c r="BS22" s="2"/>
      <c r="BT22" s="2"/>
      <c r="BU22" s="2"/>
      <c r="BV22" s="2"/>
      <c r="BW22" s="2"/>
      <c r="BX22" s="466">
        <f t="shared" si="28"/>
        <v>207280.78915852099</v>
      </c>
      <c r="BY22" s="4"/>
      <c r="BZ22" s="2"/>
      <c r="CA22" s="34"/>
      <c r="CB22" s="34"/>
      <c r="CC22" s="34"/>
      <c r="CD22" s="34"/>
      <c r="CE22" s="34"/>
      <c r="CF22" s="34"/>
      <c r="CG22" s="34"/>
      <c r="CH22" s="34"/>
      <c r="CI22" s="34">
        <f t="shared" si="29"/>
        <v>0.49114035696558406</v>
      </c>
      <c r="CJ22" s="34">
        <f t="shared" si="30"/>
        <v>0.49510981370982499</v>
      </c>
      <c r="CK22" s="34">
        <f t="shared" si="31"/>
        <v>0.49779966603096665</v>
      </c>
      <c r="CL22" s="34">
        <f t="shared" si="32"/>
        <v>0.49130020946084391</v>
      </c>
      <c r="CM22" s="34">
        <f t="shared" si="33"/>
        <v>0.46525064271293493</v>
      </c>
      <c r="CN22" s="34">
        <f t="shared" si="26"/>
        <v>0.45259752911436002</v>
      </c>
      <c r="CO22" s="34">
        <f t="shared" si="26"/>
        <v>0.46500012482004588</v>
      </c>
      <c r="CQ22" s="74"/>
    </row>
    <row r="23" spans="1:95">
      <c r="A23" s="2" t="s">
        <v>748</v>
      </c>
      <c r="B23" s="179">
        <f t="shared" ref="B23:Y23" si="34">B25-SUM(B16:B22)</f>
        <v>-2344.1999999999971</v>
      </c>
      <c r="C23" s="179">
        <f t="shared" si="34"/>
        <v>-2581</v>
      </c>
      <c r="D23" s="179">
        <f t="shared" si="34"/>
        <v>-3979</v>
      </c>
      <c r="E23" s="179">
        <f t="shared" si="34"/>
        <v>1929.8786270199998</v>
      </c>
      <c r="F23" s="179">
        <f t="shared" si="34"/>
        <v>-267.65688406000118</v>
      </c>
      <c r="G23" s="179">
        <f t="shared" si="34"/>
        <v>-128.6946421199973</v>
      </c>
      <c r="H23" s="179">
        <f t="shared" si="34"/>
        <v>3520.6863884600025</v>
      </c>
      <c r="I23" s="179">
        <f t="shared" si="34"/>
        <v>1247.4644284400056</v>
      </c>
      <c r="J23" s="179">
        <f t="shared" si="34"/>
        <v>-1281.1513099999866</v>
      </c>
      <c r="K23" s="179">
        <f t="shared" si="34"/>
        <v>-1908.018040000039</v>
      </c>
      <c r="L23" s="179">
        <f t="shared" si="34"/>
        <v>-1734.2275459999946</v>
      </c>
      <c r="M23" s="179">
        <f t="shared" si="34"/>
        <v>-1887.4297470000456</v>
      </c>
      <c r="N23" s="179">
        <f t="shared" si="34"/>
        <v>-1262.3212540000095</v>
      </c>
      <c r="O23" s="179">
        <f t="shared" si="34"/>
        <v>-1872.9059821666015</v>
      </c>
      <c r="P23" s="179">
        <f t="shared" si="34"/>
        <v>-1766.0437070000335</v>
      </c>
      <c r="Q23" s="179">
        <f t="shared" si="34"/>
        <v>-961.82544271385996</v>
      </c>
      <c r="R23" s="179">
        <f t="shared" si="34"/>
        <v>-1683.043840000013</v>
      </c>
      <c r="S23" s="179">
        <f t="shared" si="34"/>
        <v>-1602.6287599999778</v>
      </c>
      <c r="T23" s="179">
        <f t="shared" si="34"/>
        <v>-1816.718419999961</v>
      </c>
      <c r="U23" s="179">
        <f t="shared" si="34"/>
        <v>-1932.6894090001006</v>
      </c>
      <c r="V23" s="179">
        <f t="shared" si="34"/>
        <v>-2430.4694809999783</v>
      </c>
      <c r="W23" s="179">
        <f t="shared" si="34"/>
        <v>-2492.7707133259682</v>
      </c>
      <c r="X23" s="179">
        <f t="shared" si="34"/>
        <v>-2406.0144984819199</v>
      </c>
      <c r="Y23" s="179">
        <f t="shared" si="34"/>
        <v>-4745.1783063470211</v>
      </c>
      <c r="Z23" s="179">
        <f t="shared" ref="Z23:AA23" si="35">Z25-SUM(Z16:Z22)</f>
        <v>-3214.8783894319931</v>
      </c>
      <c r="AA23" s="179">
        <f t="shared" si="35"/>
        <v>-3092</v>
      </c>
      <c r="AB23" s="179">
        <f t="shared" ref="AB23:AC23" si="36">AB25-SUM(AB16:AB22)</f>
        <v>-4178.3223510759417</v>
      </c>
      <c r="AC23" s="179">
        <f t="shared" si="36"/>
        <v>-3280.336088311582</v>
      </c>
      <c r="AD23" s="169">
        <f t="shared" ref="AD23" si="37">AD25-SUM(AD16:AD22)</f>
        <v>-3573.068882992462</v>
      </c>
      <c r="AE23" s="178">
        <f t="shared" ref="AE23:AF23" si="38">AE25-SUM(AE16:AE22)</f>
        <v>-4618.545997184905</v>
      </c>
      <c r="AF23" s="168">
        <f t="shared" si="38"/>
        <v>-3131.449296183011</v>
      </c>
      <c r="AG23" s="168">
        <f t="shared" ref="AG23:AH23" si="39">AG25-SUM(AG16:AG22)</f>
        <v>-3376.0899295389245</v>
      </c>
      <c r="AH23" s="168">
        <f t="shared" si="39"/>
        <v>-3611.2503618435294</v>
      </c>
      <c r="AI23" s="168">
        <f t="shared" ref="AI23:AJ23" si="40">AI25-SUM(AI16:AI22)</f>
        <v>-3428</v>
      </c>
      <c r="AJ23" s="168">
        <f t="shared" si="40"/>
        <v>-4695.36465829183</v>
      </c>
      <c r="AK23" s="168">
        <f t="shared" ref="AK23:AL23" si="41">AK25-SUM(AK16:AK22)</f>
        <v>-11128.992772544079</v>
      </c>
      <c r="AL23" s="168">
        <f t="shared" si="41"/>
        <v>-9573.0996291190095</v>
      </c>
      <c r="AM23" s="168">
        <f t="shared" ref="AM23:AO23" si="42">AM25-SUM(AM16:AM22)</f>
        <v>-10340.317268463768</v>
      </c>
      <c r="AN23" s="168">
        <f t="shared" ref="AN23" si="43">AN25-SUM(AN16:AN22)</f>
        <v>-1172.8220289790916</v>
      </c>
      <c r="AO23" s="168">
        <f t="shared" si="42"/>
        <v>-511.01642385817831</v>
      </c>
      <c r="AP23" s="168">
        <f t="shared" ref="AP23:AQ23" si="44">AP25-SUM(AP16:AP22)</f>
        <v>-938.51944117600215</v>
      </c>
      <c r="AQ23" s="168">
        <f t="shared" si="44"/>
        <v>-1118.9275115889614</v>
      </c>
      <c r="AR23" s="168">
        <f t="shared" ref="AR23" si="45">AR25-SUM(AR16:AR22)</f>
        <v>-396.35844689502846</v>
      </c>
      <c r="AS23" s="168">
        <f t="shared" ref="AS23:AT23" si="46">AS25-SUM(AS16:AS22)</f>
        <v>-496.90480943181319</v>
      </c>
      <c r="AT23" s="168">
        <f t="shared" si="46"/>
        <v>-613.57851909537567</v>
      </c>
      <c r="AU23" s="168">
        <f t="shared" ref="AU23" si="47">AU25-SUM(AU16:AU22)</f>
        <v>-263.3380468657997</v>
      </c>
      <c r="AV23" s="168">
        <f t="shared" ref="AV23:AW23" si="48">AV25-SUM(AV16:AV22)</f>
        <v>-805.02506050729426</v>
      </c>
      <c r="AW23" s="168">
        <f t="shared" si="48"/>
        <v>-489.26325513696065</v>
      </c>
      <c r="AX23" s="168">
        <f t="shared" ref="AX23:AY23" si="49">AX25-SUM(AX16:AX22)</f>
        <v>-225.9183516469202</v>
      </c>
      <c r="AY23" s="168">
        <f t="shared" si="49"/>
        <v>-290.98519706414663</v>
      </c>
      <c r="AZ23" s="168">
        <f t="shared" ref="AZ23:BA23" si="50">AZ25-SUM(AZ16:AZ22)</f>
        <v>-530.12466960315942</v>
      </c>
      <c r="BA23" s="168">
        <f t="shared" si="50"/>
        <v>-460.37459849833976</v>
      </c>
      <c r="BB23" s="168">
        <f t="shared" ref="BB23:BC23" si="51">BB25-SUM(BB16:BB22)</f>
        <v>-406.37909756426234</v>
      </c>
      <c r="BC23" s="168">
        <f t="shared" si="51"/>
        <v>-413.50076647551032</v>
      </c>
      <c r="BD23" s="2"/>
      <c r="BE23" s="2"/>
      <c r="BF23" s="2"/>
      <c r="BG23" s="105"/>
      <c r="BH23" s="118">
        <f t="shared" si="27"/>
        <v>0</v>
      </c>
      <c r="BI23" s="2"/>
      <c r="BJ23" s="85"/>
      <c r="BK23" s="85"/>
      <c r="BL23" s="85"/>
      <c r="BM23" s="2"/>
      <c r="BN23" s="2"/>
      <c r="BO23" s="2"/>
      <c r="BP23" s="2"/>
      <c r="BQ23" s="2"/>
      <c r="BR23" s="2"/>
      <c r="BS23" s="2"/>
      <c r="BT23" s="2"/>
      <c r="BU23" s="2"/>
      <c r="BV23" s="2"/>
      <c r="BW23" s="2"/>
      <c r="BX23" s="466">
        <f t="shared" si="28"/>
        <v>-2171.2048816054303</v>
      </c>
      <c r="BY23" s="4"/>
      <c r="BZ23" s="2"/>
      <c r="CA23" s="34"/>
      <c r="CB23" s="34"/>
      <c r="CC23" s="34"/>
      <c r="CD23" s="34"/>
      <c r="CE23" s="34"/>
      <c r="CF23" s="34"/>
      <c r="CG23" s="34"/>
      <c r="CH23" s="34"/>
      <c r="CI23" s="34">
        <f t="shared" si="29"/>
        <v>3.8741527175521123E-2</v>
      </c>
      <c r="CJ23" s="34">
        <f t="shared" si="30"/>
        <v>1.7120229346072272E-2</v>
      </c>
      <c r="CK23" s="34">
        <f t="shared" si="31"/>
        <v>2.1387328029835142E-2</v>
      </c>
      <c r="CL23" s="34">
        <f t="shared" si="32"/>
        <v>3.8383050224508143E-2</v>
      </c>
      <c r="CM23" s="34">
        <f t="shared" si="33"/>
        <v>3.2827265388635639E-2</v>
      </c>
      <c r="CN23" s="34">
        <f t="shared" si="26"/>
        <v>2.9605444685172403E-2</v>
      </c>
      <c r="CO23" s="34">
        <f t="shared" si="26"/>
        <v>3.0114050954487982E-2</v>
      </c>
      <c r="CQ23" s="74"/>
    </row>
    <row r="24" spans="1:95" hidden="1">
      <c r="A24" s="9"/>
      <c r="B24" s="170"/>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0"/>
      <c r="AL24" s="170"/>
      <c r="AM24" s="170"/>
      <c r="AN24" s="170"/>
      <c r="AO24" s="170"/>
      <c r="AP24" s="170"/>
      <c r="AQ24" s="170"/>
      <c r="AR24" s="170"/>
      <c r="AS24" s="170"/>
      <c r="AT24" s="170"/>
      <c r="AU24" s="170"/>
      <c r="AV24" s="170"/>
      <c r="AW24" s="170"/>
      <c r="AX24" s="170"/>
      <c r="AY24" s="170"/>
      <c r="AZ24" s="170"/>
      <c r="BA24" s="170"/>
      <c r="BB24" s="170"/>
      <c r="BC24" s="170"/>
      <c r="BD24" s="9"/>
      <c r="BE24" s="9"/>
      <c r="BF24" s="2"/>
      <c r="BG24" s="105"/>
      <c r="BH24" s="118">
        <f t="shared" si="27"/>
        <v>0</v>
      </c>
      <c r="BI24" s="2"/>
      <c r="BJ24" s="85"/>
      <c r="BK24" s="85"/>
      <c r="BL24" s="85"/>
      <c r="BM24" s="2"/>
      <c r="BN24" s="2"/>
      <c r="BO24" s="2"/>
      <c r="BP24" s="2"/>
      <c r="BQ24" s="2"/>
      <c r="BR24" s="2"/>
      <c r="BS24" s="2"/>
      <c r="BT24" s="2"/>
      <c r="BU24" s="2"/>
      <c r="BV24" s="2"/>
      <c r="BW24" s="2"/>
      <c r="BX24" s="466">
        <f t="shared" si="28"/>
        <v>0</v>
      </c>
      <c r="BY24" s="4"/>
      <c r="BZ24" s="2"/>
      <c r="CA24" s="34"/>
      <c r="CB24" s="34"/>
      <c r="CC24" s="34"/>
      <c r="CD24" s="34"/>
      <c r="CE24" s="34"/>
      <c r="CF24" s="34"/>
      <c r="CG24" s="34"/>
      <c r="CH24" s="34"/>
      <c r="CI24" s="34" t="e">
        <f t="shared" si="29"/>
        <v>#DIV/0!</v>
      </c>
      <c r="CJ24" s="34" t="e">
        <f t="shared" si="30"/>
        <v>#DIV/0!</v>
      </c>
      <c r="CK24" s="34" t="e">
        <f t="shared" si="31"/>
        <v>#DIV/0!</v>
      </c>
      <c r="CL24" s="34" t="e">
        <f t="shared" si="32"/>
        <v>#DIV/0!</v>
      </c>
      <c r="CM24" s="34" t="e">
        <f t="shared" si="33"/>
        <v>#DIV/0!</v>
      </c>
      <c r="CN24" s="34" t="e">
        <f t="shared" si="26"/>
        <v>#DIV/0!</v>
      </c>
      <c r="CO24" s="34" t="e">
        <f t="shared" si="26"/>
        <v>#DIV/0!</v>
      </c>
      <c r="CQ24" s="74"/>
    </row>
    <row r="25" spans="1:95">
      <c r="A25" s="183" t="s">
        <v>749</v>
      </c>
      <c r="B25" s="267">
        <v>57508</v>
      </c>
      <c r="C25" s="267">
        <v>58151</v>
      </c>
      <c r="D25" s="267">
        <v>59584</v>
      </c>
      <c r="E25" s="267">
        <v>62329</v>
      </c>
      <c r="F25" s="267">
        <v>54856</v>
      </c>
      <c r="G25" s="267">
        <v>59369</v>
      </c>
      <c r="H25" s="267">
        <v>61839</v>
      </c>
      <c r="I25" s="267">
        <v>62429</v>
      </c>
      <c r="J25" s="267">
        <v>65449</v>
      </c>
      <c r="K25" s="267">
        <v>68321</v>
      </c>
      <c r="L25" s="267">
        <v>71006</v>
      </c>
      <c r="M25" s="267">
        <v>73186</v>
      </c>
      <c r="N25" s="267">
        <v>77669</v>
      </c>
      <c r="O25" s="267">
        <v>77494</v>
      </c>
      <c r="P25" s="267">
        <v>78276</v>
      </c>
      <c r="Q25" s="267">
        <v>80505</v>
      </c>
      <c r="R25" s="267">
        <v>82617</v>
      </c>
      <c r="S25" s="267">
        <v>82653</v>
      </c>
      <c r="T25" s="267">
        <v>84748</v>
      </c>
      <c r="U25" s="267">
        <v>91884</v>
      </c>
      <c r="V25" s="267">
        <v>95913</v>
      </c>
      <c r="W25" s="267">
        <v>94662</v>
      </c>
      <c r="X25" s="267">
        <v>85705</v>
      </c>
      <c r="Y25" s="267">
        <v>79928</v>
      </c>
      <c r="Z25" s="267">
        <v>78231</v>
      </c>
      <c r="AA25" s="267">
        <v>80037</v>
      </c>
      <c r="AB25" s="267">
        <v>75871</v>
      </c>
      <c r="AC25" s="267">
        <v>70341</v>
      </c>
      <c r="AD25" s="267">
        <v>68370</v>
      </c>
      <c r="AE25" s="267">
        <v>63433</v>
      </c>
      <c r="AF25" s="267">
        <v>63069</v>
      </c>
      <c r="AG25" s="267">
        <v>68064</v>
      </c>
      <c r="AH25" s="267">
        <v>84926</v>
      </c>
      <c r="AI25" s="267">
        <v>89363</v>
      </c>
      <c r="AJ25" s="267">
        <v>93500.971654773908</v>
      </c>
      <c r="AK25" s="267">
        <v>97612</v>
      </c>
      <c r="AL25" s="267">
        <v>101185.56047363298</v>
      </c>
      <c r="AM25" s="267">
        <v>112593.25666681012</v>
      </c>
      <c r="AN25" s="267">
        <v>121777.18285955691</v>
      </c>
      <c r="AO25" s="267">
        <v>125831</v>
      </c>
      <c r="AP25" s="267">
        <v>131894</v>
      </c>
      <c r="AQ25" s="267">
        <v>140177</v>
      </c>
      <c r="AR25" s="267">
        <v>149047</v>
      </c>
      <c r="AS25" s="267">
        <v>159984</v>
      </c>
      <c r="AT25" s="267">
        <v>166044.05917511089</v>
      </c>
      <c r="AU25" s="267">
        <v>177212</v>
      </c>
      <c r="AV25" s="267">
        <v>186007.48791346012</v>
      </c>
      <c r="AW25" s="267">
        <v>188067</v>
      </c>
      <c r="AX25" s="267">
        <v>197461</v>
      </c>
      <c r="AY25" s="267">
        <v>196649.56576009793</v>
      </c>
      <c r="AZ25" s="267">
        <v>200442.63899788403</v>
      </c>
      <c r="BA25" s="267">
        <v>195904.96373130448</v>
      </c>
      <c r="BB25" s="267">
        <v>199442</v>
      </c>
      <c r="BC25" s="267">
        <v>220209</v>
      </c>
      <c r="BD25" s="13"/>
      <c r="BE25" s="182"/>
      <c r="BF25" s="2"/>
      <c r="BG25" s="105"/>
      <c r="BH25" s="118">
        <f t="shared" si="27"/>
        <v>0</v>
      </c>
      <c r="BI25" s="91"/>
      <c r="BJ25" s="250">
        <v>15123</v>
      </c>
      <c r="BK25" s="118">
        <f>AH25-BJ25</f>
        <v>69803</v>
      </c>
      <c r="BL25" s="120">
        <f>BK25/AD25-1</f>
        <v>2.0959485154307345E-2</v>
      </c>
      <c r="BM25" s="2"/>
      <c r="BN25" s="2"/>
      <c r="BO25" s="2"/>
      <c r="BP25" s="2"/>
      <c r="BQ25" s="2"/>
      <c r="BR25" s="2"/>
      <c r="BS25" s="2"/>
      <c r="BT25" s="2"/>
      <c r="BU25" s="104">
        <f>AK25+BW19</f>
        <v>99401</v>
      </c>
      <c r="BV25" s="280">
        <f>BU25/AG25-1</f>
        <v>0.46040491302303721</v>
      </c>
      <c r="BW25" s="2"/>
      <c r="BX25" s="466">
        <f t="shared" si="28"/>
        <v>717330.54708857101</v>
      </c>
      <c r="BY25" s="4"/>
      <c r="BZ25" s="2"/>
      <c r="CA25" s="34"/>
      <c r="CB25" s="34"/>
      <c r="CC25" s="34"/>
      <c r="CD25" s="34"/>
      <c r="CE25" s="34"/>
      <c r="CF25" s="34"/>
      <c r="CG25" s="34"/>
      <c r="CH25" s="34"/>
      <c r="CI25" s="34">
        <f t="shared" si="29"/>
        <v>0.52227776389236025</v>
      </c>
      <c r="CJ25" s="34">
        <f t="shared" si="30"/>
        <v>0.52740651709401709</v>
      </c>
      <c r="CK25" s="34">
        <f t="shared" si="31"/>
        <v>0.5308568930835873</v>
      </c>
      <c r="CL25" s="34">
        <f t="shared" si="32"/>
        <v>0.52887937571177468</v>
      </c>
      <c r="CM25" s="34">
        <f t="shared" si="33"/>
        <v>0.52103631132475103</v>
      </c>
      <c r="CN25" s="34">
        <f t="shared" si="26"/>
        <v>0.51794506887166814</v>
      </c>
      <c r="CO25" s="34">
        <f t="shared" si="26"/>
        <v>0.53096570564676548</v>
      </c>
      <c r="CQ25" s="74"/>
    </row>
    <row r="26" spans="1:95">
      <c r="A26" s="2"/>
      <c r="B26" s="178"/>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68"/>
      <c r="AE26" s="178"/>
      <c r="AF26" s="168"/>
      <c r="AG26" s="178"/>
      <c r="AH26" s="178"/>
      <c r="BD26" s="2"/>
      <c r="BE26" s="2"/>
      <c r="BF26" s="2"/>
      <c r="BG26" s="2"/>
      <c r="BH26" s="2"/>
      <c r="BI26" s="2"/>
      <c r="BJ26" s="85"/>
      <c r="BK26" s="85"/>
      <c r="BL26" s="120">
        <f>BK25/AG25-1</f>
        <v>2.5549482839680282E-2</v>
      </c>
      <c r="BM26" s="2"/>
      <c r="BN26" s="178">
        <f>AI25-BJ25</f>
        <v>74240</v>
      </c>
      <c r="BO26" s="178"/>
      <c r="BP26" s="178">
        <f>AJ25-BJ25</f>
        <v>78377.971654773908</v>
      </c>
      <c r="BQ26" s="2"/>
      <c r="BR26" s="2"/>
      <c r="BS26" s="2"/>
      <c r="BT26" s="2"/>
      <c r="BU26" s="2"/>
      <c r="BV26" s="280">
        <f>BU25/BU13</f>
        <v>0.42813148759120317</v>
      </c>
      <c r="BW26" s="2"/>
      <c r="BX26" s="2"/>
      <c r="BY26" s="2"/>
      <c r="BZ26" s="2"/>
    </row>
    <row r="27" spans="1:95">
      <c r="A27" s="2"/>
      <c r="B27" s="178"/>
      <c r="C27" s="178"/>
      <c r="D27" s="178"/>
      <c r="E27" s="178"/>
      <c r="F27" s="178"/>
      <c r="G27" s="178"/>
      <c r="H27" s="178"/>
      <c r="I27" s="178"/>
      <c r="J27" s="178"/>
      <c r="K27" s="178"/>
      <c r="L27" s="178"/>
      <c r="M27" s="178"/>
      <c r="N27" s="178"/>
      <c r="O27" s="178"/>
      <c r="P27" s="178"/>
      <c r="Q27" s="178"/>
      <c r="R27" s="178"/>
      <c r="S27" s="178"/>
      <c r="T27" s="178"/>
      <c r="U27" s="178"/>
      <c r="V27" s="178"/>
      <c r="W27" s="180"/>
      <c r="X27" s="180"/>
      <c r="Y27" s="180"/>
      <c r="Z27" s="180"/>
      <c r="AA27" s="180"/>
      <c r="AB27" s="180"/>
      <c r="AC27" s="180"/>
      <c r="AD27" s="109"/>
      <c r="AE27" s="180"/>
      <c r="AF27" s="109"/>
      <c r="AG27" s="180"/>
      <c r="AH27" s="180"/>
      <c r="BD27" s="2"/>
      <c r="BE27" s="2"/>
      <c r="BF27" s="2"/>
      <c r="BG27" s="2"/>
      <c r="BH27" s="2"/>
      <c r="BI27" s="2"/>
      <c r="BJ27" s="85"/>
      <c r="BK27" s="85"/>
      <c r="BL27" s="85"/>
      <c r="BM27" s="2"/>
      <c r="BN27" s="180">
        <f>BN26/AE25-1</f>
        <v>0.17036873551621401</v>
      </c>
      <c r="BO27" s="180"/>
      <c r="BP27" s="180">
        <f>BP26/AF25-1</f>
        <v>0.24273369888176299</v>
      </c>
      <c r="BQ27" s="2"/>
      <c r="BR27" s="2"/>
      <c r="BS27" s="2"/>
      <c r="BT27" s="2"/>
      <c r="BU27" s="2"/>
      <c r="BV27" s="2"/>
      <c r="BW27" s="2"/>
      <c r="BX27" s="2"/>
      <c r="BY27" s="2"/>
      <c r="BZ27" s="2"/>
    </row>
    <row r="28" spans="1:95">
      <c r="A28" s="2"/>
      <c r="B28" s="178"/>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68"/>
      <c r="AE28" s="178"/>
      <c r="AF28" s="16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2"/>
      <c r="BE28" s="2"/>
      <c r="BF28" s="2"/>
      <c r="BG28" s="2"/>
      <c r="BH28" s="2"/>
      <c r="BI28" s="2"/>
      <c r="BJ28" s="2"/>
      <c r="BK28" s="2"/>
      <c r="BL28" s="2"/>
      <c r="BM28" s="2"/>
      <c r="BN28" s="109">
        <f>BN26/BN13</f>
        <v>0.35176831810772907</v>
      </c>
      <c r="BO28" s="2"/>
      <c r="BP28" s="109">
        <f>BP26/BP13</f>
        <v>0.35755395224023934</v>
      </c>
      <c r="BQ28" s="2"/>
      <c r="BR28" s="2"/>
      <c r="BS28" s="2"/>
      <c r="BT28" s="2"/>
      <c r="BU28" s="2"/>
      <c r="BV28" s="2"/>
      <c r="BW28" s="2"/>
      <c r="BX28" s="2"/>
      <c r="BY28" s="2"/>
      <c r="BZ28" s="2"/>
    </row>
    <row r="29" spans="1:95">
      <c r="A29" s="13" t="s">
        <v>39</v>
      </c>
      <c r="B29" s="178"/>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68"/>
      <c r="AE29" s="178"/>
      <c r="AF29" s="16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2"/>
      <c r="BE29" s="2"/>
      <c r="BF29" s="2"/>
      <c r="BG29" s="2"/>
      <c r="BH29" s="2"/>
      <c r="BI29" s="2"/>
      <c r="BJ29" s="2"/>
      <c r="BK29" s="2"/>
      <c r="BL29" s="2"/>
      <c r="BM29" s="2"/>
      <c r="BN29" s="2"/>
      <c r="BO29" s="2"/>
      <c r="BP29" s="2"/>
      <c r="BQ29" s="2"/>
      <c r="BR29" s="2"/>
      <c r="BS29" s="2"/>
      <c r="BT29" s="2"/>
      <c r="BU29" s="2"/>
      <c r="BV29" s="2"/>
      <c r="BW29" s="2"/>
      <c r="BX29" s="2"/>
      <c r="BY29" s="2"/>
      <c r="BZ29" s="2"/>
    </row>
    <row r="30" spans="1:95">
      <c r="A30" s="2" t="s">
        <v>28</v>
      </c>
      <c r="B30" s="178">
        <f>'Domestic Mobile Financials'!B9</f>
        <v>13452</v>
      </c>
      <c r="C30" s="178">
        <f>'Domestic Mobile Financials'!C9</f>
        <v>12011</v>
      </c>
      <c r="D30" s="178">
        <f>'Domestic Mobile Financials'!D9</f>
        <v>1838</v>
      </c>
      <c r="E30" s="178">
        <f>'Domestic Mobile Financials'!E9</f>
        <v>4655</v>
      </c>
      <c r="F30" s="178">
        <f>'Domestic Mobile Financials'!F9</f>
        <v>18200</v>
      </c>
      <c r="G30" s="178">
        <f>'Domestic Mobile Financials'!G9</f>
        <v>16793</v>
      </c>
      <c r="H30" s="178">
        <f>'Domestic Mobile Financials'!H9</f>
        <v>8067</v>
      </c>
      <c r="I30" s="178">
        <f>'Domestic Mobile Financials'!I9</f>
        <v>13128</v>
      </c>
      <c r="J30" s="178">
        <f>'Domestic Mobile Financials'!J9</f>
        <v>7906.8707840000025</v>
      </c>
      <c r="K30" s="178">
        <f>'Domestic Mobile Financials'!K9</f>
        <v>7228.3556769999886</v>
      </c>
      <c r="L30" s="178">
        <f>'Domestic Mobile Financials'!L9</f>
        <v>13529.487403000017</v>
      </c>
      <c r="M30" s="178">
        <f>'Domestic Mobile Financials'!M9</f>
        <v>12900.824902999997</v>
      </c>
      <c r="N30" s="178">
        <f>'Domestic Mobile Financials'!N9</f>
        <v>22879.105469000002</v>
      </c>
      <c r="O30" s="178">
        <f>'Domestic Mobile Financials'!O9</f>
        <v>14889.713784999993</v>
      </c>
      <c r="P30" s="178">
        <f>'Domestic Mobile Financials'!P9</f>
        <v>20737.504657000012</v>
      </c>
      <c r="Q30" s="178">
        <f>'Domestic Mobile Financials'!Q9</f>
        <v>34598.43318</v>
      </c>
      <c r="R30" s="178">
        <f>'Domestic Mobile Financials'!R9</f>
        <v>22165.531824999998</v>
      </c>
      <c r="S30" s="178">
        <f>'Domestic Mobile Financials'!S9</f>
        <v>31014.853255000002</v>
      </c>
      <c r="T30" s="178">
        <f>'Domestic Mobile Financials'!T9</f>
        <v>32800.420386000005</v>
      </c>
      <c r="U30" s="178">
        <f>'Domestic Mobile Financials'!U9</f>
        <v>33793.638099999975</v>
      </c>
      <c r="V30" s="178">
        <f>'Domestic Mobile Financials'!V9</f>
        <v>31940.951209000021</v>
      </c>
      <c r="W30" s="178">
        <f>'Domestic Mobile Financials'!W9</f>
        <v>37055.607195894976</v>
      </c>
      <c r="X30" s="178">
        <f>'Domestic Mobile Financials'!X9</f>
        <v>44091.432341489992</v>
      </c>
      <c r="Y30" s="178">
        <f>'Domestic Mobile Financials'!Y9</f>
        <v>20542.802611305</v>
      </c>
      <c r="Z30" s="178">
        <f>'Domestic Mobile Financials'!Z9</f>
        <v>50729</v>
      </c>
      <c r="AA30" s="178">
        <f>'Domestic Mobile Financials'!AA9</f>
        <v>61053</v>
      </c>
      <c r="AB30" s="178">
        <f>'Domestic Mobile Financials'!AB9</f>
        <v>49356.647657974019</v>
      </c>
      <c r="AC30" s="178">
        <f>'Domestic Mobile Financials'!AC9</f>
        <v>33554.285472450152</v>
      </c>
      <c r="AD30" s="168">
        <f>'Domestic Mobile Financials'!AD9</f>
        <v>69349.749057212</v>
      </c>
      <c r="AE30" s="178">
        <f>'Domestic Mobile Financials'!AE9</f>
        <v>58862.628328683481</v>
      </c>
      <c r="AF30" s="168">
        <f>'Domestic Mobile Financials'!AF9</f>
        <v>37273.757429697442</v>
      </c>
      <c r="AG30" s="168">
        <f>'Domestic Mobile Financials'!AG9</f>
        <v>34631.766670853947</v>
      </c>
      <c r="AH30" s="168">
        <f>'Domestic Mobile Financials'!AH9</f>
        <v>36426.14725234059</v>
      </c>
      <c r="AI30" s="168">
        <f>'Domestic Mobile Financials'!AI9</f>
        <v>19639</v>
      </c>
      <c r="AJ30" s="168">
        <f>'Domestic Mobile Financials'!AJ9</f>
        <v>25414.761618341508</v>
      </c>
      <c r="AK30" s="168">
        <f>'Domestic Mobile Financials'!AK9</f>
        <v>69968.40667095744</v>
      </c>
      <c r="AL30" s="168">
        <f>'Domestic Mobile Financials'!AL9</f>
        <v>25584.627460142372</v>
      </c>
      <c r="AM30" s="168">
        <f>'Domestic Mobile Financials'!AM9</f>
        <v>41736.28195331536</v>
      </c>
      <c r="AN30" s="168">
        <f>'Domestic Mobile Financials'!AN9</f>
        <v>42049.372850048363</v>
      </c>
      <c r="AO30" s="168">
        <f>'Domestic Mobile Financials'!AO9</f>
        <v>37392.685751981611</v>
      </c>
      <c r="AP30" s="168">
        <f>'Domestic Mobile Financials'!AP9</f>
        <v>43744.246684934405</v>
      </c>
      <c r="AQ30" s="168">
        <f>'Domestic Mobile Financials'!AQ9</f>
        <v>46293</v>
      </c>
      <c r="AR30" s="168">
        <f>'Domestic Mobile Financials'!AR9</f>
        <v>29037.67337424578</v>
      </c>
      <c r="AS30" s="168">
        <f>'Domestic Mobile Financials'!AS9</f>
        <v>25557.680616848622</v>
      </c>
      <c r="AT30" s="168">
        <f>'Domestic Mobile Financials'!AT9</f>
        <v>36085.710373217546</v>
      </c>
      <c r="AU30" s="168">
        <f>'Domestic Mobile Financials'!AU9</f>
        <v>38452.289661312308</v>
      </c>
      <c r="AV30" s="168">
        <f>'Domestic Mobile Financials'!AV9</f>
        <v>63793.401411513245</v>
      </c>
      <c r="AW30" s="168">
        <f>'Domestic Mobile Financials'!AW9</f>
        <v>66470.989126067885</v>
      </c>
      <c r="AX30" s="168">
        <f>'Domestic Mobile Financials'!AX9</f>
        <v>78289.521208909544</v>
      </c>
      <c r="AY30" s="168">
        <f>'Domestic Mobile Financials'!AY9</f>
        <v>56856.13662305475</v>
      </c>
      <c r="AZ30" s="168">
        <f>'Domestic Mobile Financials'!AZ9</f>
        <v>57479.019008993986</v>
      </c>
      <c r="BA30" s="168">
        <f>'Domestic Mobile Financials'!BA9</f>
        <v>60102.239916877508</v>
      </c>
      <c r="BB30" s="168">
        <f>'Domestic Mobile Financials'!BB9</f>
        <v>48480.646700913472</v>
      </c>
      <c r="BC30" s="168">
        <f>'Domestic Mobile Financials'!BC9</f>
        <v>39881.223553814874</v>
      </c>
      <c r="BD30" s="2"/>
      <c r="BE30" s="2"/>
      <c r="BF30" s="104"/>
      <c r="BG30" s="2"/>
      <c r="BH30" s="2"/>
      <c r="BI30" s="2"/>
      <c r="BJ30" s="2"/>
      <c r="BK30" s="2"/>
      <c r="BL30" s="2"/>
      <c r="BM30" s="2"/>
      <c r="BN30" s="2"/>
      <c r="BO30" s="2"/>
      <c r="BP30" s="2"/>
      <c r="BQ30" s="2"/>
      <c r="BR30" s="2"/>
      <c r="BS30" s="2"/>
      <c r="BT30" s="2"/>
      <c r="BU30" s="2"/>
      <c r="BV30" s="2"/>
      <c r="BW30" s="2"/>
      <c r="BX30" s="2"/>
      <c r="BY30" s="2"/>
      <c r="BZ30" s="2"/>
      <c r="CI30" s="74">
        <f>BB30-AX30</f>
        <v>-29808.874507996072</v>
      </c>
      <c r="CJ30" s="75"/>
    </row>
    <row r="31" spans="1:95">
      <c r="A31" s="2" t="s">
        <v>29</v>
      </c>
      <c r="B31" s="178">
        <f>'Other India financials'!B10</f>
        <v>3113</v>
      </c>
      <c r="C31" s="178">
        <f>'Other India financials'!C10</f>
        <v>1348</v>
      </c>
      <c r="D31" s="178">
        <f>'Other India financials'!D10</f>
        <v>2444</v>
      </c>
      <c r="E31" s="178">
        <f>'Other India financials'!E10</f>
        <v>1495.5753749999972</v>
      </c>
      <c r="F31" s="178">
        <f>'Other India financials'!F10</f>
        <v>2081.2886459999995</v>
      </c>
      <c r="G31" s="178">
        <f>'Other India financials'!G10</f>
        <v>1491.7095910000005</v>
      </c>
      <c r="H31" s="178">
        <f>'Other India financials'!H10</f>
        <v>2244.1348960000009</v>
      </c>
      <c r="I31" s="178">
        <f>'Other India financials'!I10</f>
        <v>2249.7280480000018</v>
      </c>
      <c r="J31" s="178">
        <f>'Other India financials'!J10</f>
        <v>659.87662400000011</v>
      </c>
      <c r="K31" s="178">
        <f>'Other India financials'!K10</f>
        <v>810.28369499999951</v>
      </c>
      <c r="L31" s="178">
        <f>'Other India financials'!L10</f>
        <v>823.45740000000012</v>
      </c>
      <c r="M31" s="178">
        <f>'Other India financials'!M10</f>
        <v>1932.3419860000004</v>
      </c>
      <c r="N31" s="178">
        <f>'Other India financials'!N10</f>
        <v>688.96128500000009</v>
      </c>
      <c r="O31" s="178">
        <f>'Other India financials'!O10</f>
        <v>1028.615309</v>
      </c>
      <c r="P31" s="178">
        <f>'Other India financials'!P10</f>
        <v>1678.9307580000007</v>
      </c>
      <c r="Q31" s="178">
        <f>'Other India financials'!Q10</f>
        <v>1671.6144150000011</v>
      </c>
      <c r="R31" s="178">
        <f>'Other India financials'!R10</f>
        <v>1053.442407</v>
      </c>
      <c r="S31" s="178">
        <f>'Other India financials'!S10</f>
        <v>946.3239470000002</v>
      </c>
      <c r="T31" s="178">
        <f>'Other India financials'!T10</f>
        <v>1781.6153810000005</v>
      </c>
      <c r="U31" s="178">
        <f>'Other India financials'!U10</f>
        <v>617.4178089999989</v>
      </c>
      <c r="V31" s="178">
        <f>'Other India financials'!V10</f>
        <v>2570.6627579999999</v>
      </c>
      <c r="W31" s="178">
        <f>'Other India financials'!W10</f>
        <v>2161.7268366299986</v>
      </c>
      <c r="X31" s="178">
        <f>'Other India financials'!X10</f>
        <v>1858.4980905300072</v>
      </c>
      <c r="Y31" s="178">
        <f>'Other India financials'!Y10</f>
        <v>2021.5572464899979</v>
      </c>
      <c r="Z31" s="178">
        <f>'Other India financials'!Z10</f>
        <v>2065.38315758</v>
      </c>
      <c r="AA31" s="178">
        <f>'Other India financials'!AA10</f>
        <v>1599</v>
      </c>
      <c r="AB31" s="178">
        <f>'Other India financials'!AB10</f>
        <v>3208.8108045600006</v>
      </c>
      <c r="AC31" s="178">
        <f>'Other India financials'!AC10</f>
        <v>1290.3050172850003</v>
      </c>
      <c r="AD31" s="168">
        <f>'Other India financials'!AD10</f>
        <v>1922.83424324</v>
      </c>
      <c r="AE31" s="178">
        <f>'Other India financials'!AE10</f>
        <v>1888.1846265699992</v>
      </c>
      <c r="AF31" s="168">
        <f>'Other India financials'!AF10</f>
        <v>2387.858646080002</v>
      </c>
      <c r="AG31" s="168">
        <f>'Other India financials'!AG10</f>
        <v>1431.0344554832013</v>
      </c>
      <c r="AH31" s="168">
        <f>'Other India financials'!AH10</f>
        <v>1168.8533764640003</v>
      </c>
      <c r="AI31" s="168">
        <f>'Other India financials'!AI10</f>
        <v>1023</v>
      </c>
      <c r="AJ31" s="168">
        <f>'Other India financials'!AJ10</f>
        <v>2660.5111586020007</v>
      </c>
      <c r="AK31" s="168">
        <f>'Other India financials'!AK10</f>
        <v>973.37357780503407</v>
      </c>
      <c r="AL31" s="168">
        <f>'Other India financials'!AL10</f>
        <v>1181.6180149962404</v>
      </c>
      <c r="AM31" s="168">
        <f>'Other India financials'!AM10</f>
        <v>3086.6367203732707</v>
      </c>
      <c r="AN31" s="168">
        <f>'Other India financials'!AN10</f>
        <v>3415.8810700581116</v>
      </c>
      <c r="AO31" s="168">
        <f>'Other India financials'!AO10</f>
        <v>3324.6921867817837</v>
      </c>
      <c r="AP31" s="168">
        <f>'Other India financials'!AP10</f>
        <v>3891.973907168895</v>
      </c>
      <c r="AQ31" s="168">
        <f>'Other India financials'!AQ10</f>
        <v>3500</v>
      </c>
      <c r="AR31" s="168">
        <f>'Other India financials'!AR10</f>
        <v>4062.0316719577932</v>
      </c>
      <c r="AS31" s="168">
        <f>'Other India financials'!AS10</f>
        <v>4967.788945318116</v>
      </c>
      <c r="AT31" s="168">
        <f>'Other India financials'!AT10</f>
        <v>6603.9398252683995</v>
      </c>
      <c r="AU31" s="168">
        <f>'Other India financials'!AU10</f>
        <v>5886.1461445648256</v>
      </c>
      <c r="AV31" s="168">
        <f>'Other India financials'!AV10</f>
        <v>4966.1232575886979</v>
      </c>
      <c r="AW31" s="168">
        <f>'Other India financials'!AW10</f>
        <v>4280.0116695794022</v>
      </c>
      <c r="AX31" s="168">
        <f>'Other India financials'!AX10</f>
        <v>4995.1242769895507</v>
      </c>
      <c r="AY31" s="168">
        <f>'Other India financials'!AY10</f>
        <v>7569.4758386148487</v>
      </c>
      <c r="AZ31" s="168">
        <f>'Other India financials'!AZ10</f>
        <v>7816.7454101427611</v>
      </c>
      <c r="BA31" s="168">
        <f>'Other India financials'!BA10</f>
        <v>8156.9987815429695</v>
      </c>
      <c r="BB31" s="168">
        <f>'Other India financials'!BB10</f>
        <v>7072.2860581035766</v>
      </c>
      <c r="BC31" s="168">
        <f>'Other India financials'!BC10</f>
        <v>9460.0614370519997</v>
      </c>
      <c r="BD31" s="2"/>
      <c r="BE31" s="2"/>
      <c r="BF31" s="104"/>
      <c r="BG31" s="2"/>
      <c r="BH31" s="2"/>
      <c r="BI31" s="2"/>
      <c r="BJ31" s="2"/>
      <c r="BK31" s="2"/>
      <c r="BL31" s="2"/>
      <c r="BM31" s="2"/>
      <c r="BN31" s="2"/>
      <c r="BO31" s="2"/>
      <c r="BP31" s="2"/>
      <c r="BQ31" s="2"/>
      <c r="BR31" s="2"/>
      <c r="BS31" s="2"/>
      <c r="BT31" s="2"/>
      <c r="BU31" s="2"/>
      <c r="BV31" s="2"/>
      <c r="BW31" s="2"/>
      <c r="BX31" s="2"/>
      <c r="BY31" s="2"/>
      <c r="BZ31" s="2"/>
      <c r="CI31" s="74">
        <f t="shared" ref="CI31:CI37" si="52">BB31-AX31</f>
        <v>2077.1617811140259</v>
      </c>
    </row>
    <row r="32" spans="1:95">
      <c r="A32" s="2" t="s">
        <v>30</v>
      </c>
      <c r="B32" s="178">
        <f>'Other India financials'!B19</f>
        <v>3014</v>
      </c>
      <c r="C32" s="178">
        <f>'Other India financials'!C19</f>
        <v>2610</v>
      </c>
      <c r="D32" s="178">
        <f>'Other India financials'!D19</f>
        <v>1503</v>
      </c>
      <c r="E32" s="178">
        <f>'Other India financials'!E19</f>
        <v>980.83917600000041</v>
      </c>
      <c r="F32" s="178">
        <f>'Other India financials'!F19</f>
        <v>3240.5396049999999</v>
      </c>
      <c r="G32" s="178">
        <f>'Other India financials'!G19</f>
        <v>1630.2186299999998</v>
      </c>
      <c r="H32" s="178">
        <f>'Other India financials'!H19</f>
        <v>1350.7979519999999</v>
      </c>
      <c r="I32" s="178">
        <f>'Other India financials'!I19</f>
        <v>1326.3410439999998</v>
      </c>
      <c r="J32" s="178">
        <f>'Other India financials'!J19</f>
        <v>2239.2943369999998</v>
      </c>
      <c r="K32" s="178">
        <f>'Other India financials'!K19</f>
        <v>1042.3156960000001</v>
      </c>
      <c r="L32" s="178">
        <f>'Other India financials'!L19</f>
        <v>1109.4017120000008</v>
      </c>
      <c r="M32" s="178">
        <f>'Other India financials'!M19</f>
        <v>1778.7749289999992</v>
      </c>
      <c r="N32" s="178">
        <f>'Other India financials'!N19</f>
        <v>2627.0327029999999</v>
      </c>
      <c r="O32" s="178">
        <f>'Other India financials'!O19</f>
        <v>2254.9696869999998</v>
      </c>
      <c r="P32" s="178">
        <f>'Other India financials'!P19</f>
        <v>1630.0649810000004</v>
      </c>
      <c r="Q32" s="178">
        <f>'Other India financials'!Q19</f>
        <v>1330.0673059999999</v>
      </c>
      <c r="R32" s="178">
        <f>'Other India financials'!R19</f>
        <v>2112.7241089999998</v>
      </c>
      <c r="S32" s="178">
        <f>'Other India financials'!S19</f>
        <v>2501.3943100000006</v>
      </c>
      <c r="T32" s="178">
        <f>'Other India financials'!T19</f>
        <v>3422.1842609999994</v>
      </c>
      <c r="U32" s="178">
        <f>'Other India financials'!U19</f>
        <v>2943.4594359999983</v>
      </c>
      <c r="V32" s="178">
        <f>'Other India financials'!V19</f>
        <v>2030.1525179999999</v>
      </c>
      <c r="W32" s="178">
        <f>'Other India financials'!W19</f>
        <v>2541.1707275080003</v>
      </c>
      <c r="X32" s="178">
        <f>'Other India financials'!X19</f>
        <v>2650.2535696519994</v>
      </c>
      <c r="Y32" s="178">
        <f>'Other India financials'!Y19</f>
        <v>1386.0040138400007</v>
      </c>
      <c r="Z32" s="178">
        <f>'Other India financials'!Z19</f>
        <v>2661.0900125189996</v>
      </c>
      <c r="AA32" s="178">
        <f>'Other India financials'!AA19</f>
        <v>3191</v>
      </c>
      <c r="AB32" s="178">
        <f>'Other India financials'!AB19</f>
        <v>2360.4760498400001</v>
      </c>
      <c r="AC32" s="178">
        <f>'Other India financials'!AC19</f>
        <v>2064.3502559709991</v>
      </c>
      <c r="AD32" s="168">
        <f>'Other India financials'!AD19</f>
        <v>1808.8751005000004</v>
      </c>
      <c r="AE32" s="178">
        <f>'Other India financials'!AE19</f>
        <v>1797.0683514700002</v>
      </c>
      <c r="AF32" s="168">
        <f>'Other India financials'!AF19</f>
        <v>3268.0672073399996</v>
      </c>
      <c r="AG32" s="168">
        <f>'Other India financials'!AG19</f>
        <v>1916.6303276999997</v>
      </c>
      <c r="AH32" s="168">
        <f>'Other India financials'!AH19</f>
        <v>2436.6709966400003</v>
      </c>
      <c r="AI32" s="168">
        <f>'Other India financials'!AI19</f>
        <v>2052</v>
      </c>
      <c r="AJ32" s="168">
        <f>'Other India financials'!AJ19</f>
        <v>3509.4065474000004</v>
      </c>
      <c r="AK32" s="168">
        <f>'Other India financials'!AK19</f>
        <v>2514.3762578869987</v>
      </c>
      <c r="AL32" s="168">
        <f>'Other India financials'!AL19</f>
        <v>2457.2097514000006</v>
      </c>
      <c r="AM32" s="168">
        <f>'Other India financials'!AM19</f>
        <v>3469.0483109999991</v>
      </c>
      <c r="AN32" s="168">
        <f>'Other India financials'!AN19</f>
        <v>3226.3077855299998</v>
      </c>
      <c r="AO32" s="168">
        <f>'Other India financials'!AO19</f>
        <v>3690.3759494400001</v>
      </c>
      <c r="AP32" s="168">
        <f>'Other India financials'!AP19</f>
        <v>2931.5903770649993</v>
      </c>
      <c r="AQ32" s="168">
        <f>'Other India financials'!AQ19</f>
        <v>2579</v>
      </c>
      <c r="AR32" s="168">
        <f>'Other India financials'!AR19</f>
        <v>4373.7661707919979</v>
      </c>
      <c r="AS32" s="168">
        <f>'Other India financials'!AS19</f>
        <v>3143.2969737380045</v>
      </c>
      <c r="AT32" s="168">
        <f>'Other India financials'!AT19</f>
        <v>2469.6391860600002</v>
      </c>
      <c r="AU32" s="168">
        <f>'Other India financials'!AU19</f>
        <v>3053.6414709399996</v>
      </c>
      <c r="AV32" s="168">
        <f>'Other India financials'!AV19</f>
        <v>4534.0647973400019</v>
      </c>
      <c r="AW32" s="168">
        <f>'Other India financials'!AW19</f>
        <v>3544.2171699200003</v>
      </c>
      <c r="AX32" s="168">
        <f>'Other India financials'!AX19</f>
        <v>3843.0834917900006</v>
      </c>
      <c r="AY32" s="168">
        <f>'Other India financials'!AY19</f>
        <v>3754.7317059300003</v>
      </c>
      <c r="AZ32" s="168">
        <f>'Other India financials'!AZ19</f>
        <v>3716.8138145570006</v>
      </c>
      <c r="BA32" s="168">
        <f>'Other India financials'!BA19</f>
        <v>3070.6824271199966</v>
      </c>
      <c r="BB32" s="168">
        <f>'Other India financials'!BB19</f>
        <v>4078.0986539999999</v>
      </c>
      <c r="BC32" s="168">
        <f>'Other India financials'!BC19</f>
        <v>4251.6728830000002</v>
      </c>
      <c r="BD32" s="2"/>
      <c r="BE32" s="2"/>
      <c r="BF32" s="104"/>
      <c r="BG32" s="2"/>
      <c r="BH32" s="2"/>
      <c r="BI32" s="2"/>
      <c r="BJ32" s="2"/>
      <c r="BK32" s="2"/>
      <c r="BL32" s="2"/>
      <c r="BM32" s="2"/>
      <c r="BN32" s="2"/>
      <c r="BO32" s="2"/>
      <c r="BP32" s="2"/>
      <c r="BQ32" s="2"/>
      <c r="BR32" s="2"/>
      <c r="BS32" s="2"/>
      <c r="BT32" s="2"/>
      <c r="BU32" s="2"/>
      <c r="BV32" s="2"/>
      <c r="BW32" s="2"/>
      <c r="BX32" s="2"/>
      <c r="BY32" s="2"/>
      <c r="BZ32" s="2"/>
      <c r="CI32" s="74">
        <f t="shared" si="52"/>
        <v>235.01516220999929</v>
      </c>
    </row>
    <row r="33" spans="1:87">
      <c r="A33" s="2" t="s">
        <v>31</v>
      </c>
      <c r="B33" s="178">
        <f>'Other India financials'!B29</f>
        <v>933</v>
      </c>
      <c r="C33" s="178">
        <f>'Other India financials'!C29</f>
        <v>116</v>
      </c>
      <c r="D33" s="178">
        <f>'Other India financials'!D29</f>
        <v>458</v>
      </c>
      <c r="E33" s="178">
        <f>'Other India financials'!E29</f>
        <v>337.85009599999921</v>
      </c>
      <c r="F33" s="178">
        <f>'Other India financials'!F29</f>
        <v>166.03231400000004</v>
      </c>
      <c r="G33" s="178">
        <f>'Other India financials'!G29</f>
        <v>457.76588200000015</v>
      </c>
      <c r="H33" s="178">
        <f>'Other India financials'!H29</f>
        <v>139.12488686091979</v>
      </c>
      <c r="I33" s="178">
        <f>'Other India financials'!I29</f>
        <v>38.124577844800022</v>
      </c>
      <c r="J33" s="178">
        <f>'Other India financials'!J29</f>
        <v>280.930836</v>
      </c>
      <c r="K33" s="178">
        <f>'Other India financials'!K29</f>
        <v>142.16910099999996</v>
      </c>
      <c r="L33" s="178">
        <f>'Other India financials'!L29</f>
        <v>242.40881100000092</v>
      </c>
      <c r="M33" s="178">
        <f>'Other India financials'!M29</f>
        <v>699.71837400656864</v>
      </c>
      <c r="N33" s="178">
        <f>'Other India financials'!N29</f>
        <v>115.216615</v>
      </c>
      <c r="O33" s="178">
        <f>'Other India financials'!O29</f>
        <v>328.240207</v>
      </c>
      <c r="P33" s="178">
        <f>'Other India financials'!P29</f>
        <v>366.82654200000002</v>
      </c>
      <c r="Q33" s="178">
        <f>'Other India financials'!Q29</f>
        <v>371.05698599999994</v>
      </c>
      <c r="R33" s="178">
        <f>'Other India financials'!R29</f>
        <v>785.11631399999999</v>
      </c>
      <c r="S33" s="178">
        <f>'Other India financials'!S29</f>
        <v>1131.5241829999998</v>
      </c>
      <c r="T33" s="178">
        <f>'Other India financials'!T29</f>
        <v>2029.4992910000001</v>
      </c>
      <c r="U33" s="178">
        <f>'Other India financials'!U29</f>
        <v>1608.2433460000002</v>
      </c>
      <c r="V33" s="178">
        <f>'Other India financials'!V29</f>
        <v>1936.5914589999998</v>
      </c>
      <c r="W33" s="178">
        <f>'Other India financials'!W29</f>
        <v>1506.6088183950005</v>
      </c>
      <c r="X33" s="178">
        <f>'Other India financials'!X29</f>
        <v>1239.3418425250075</v>
      </c>
      <c r="Y33" s="178">
        <f>'Other India financials'!Y29</f>
        <v>2217.9163799469934</v>
      </c>
      <c r="Z33" s="178">
        <f>'Other India financials'!Z29</f>
        <v>2152.8850687969998</v>
      </c>
      <c r="AA33" s="178">
        <f>'Other India financials'!AA29</f>
        <v>1532</v>
      </c>
      <c r="AB33" s="178">
        <f>'Other India financials'!AB29</f>
        <v>822.59960378600158</v>
      </c>
      <c r="AC33" s="178">
        <f>'Other India financials'!AC29</f>
        <v>4211.2985415849989</v>
      </c>
      <c r="AD33" s="168">
        <f>'Other India financials'!AD29</f>
        <v>1395.5732355370001</v>
      </c>
      <c r="AE33" s="178">
        <f>'Other India financials'!AE29</f>
        <v>2867.676249746999</v>
      </c>
      <c r="AF33" s="168">
        <f>'Other India financials'!AF29</f>
        <v>8687.7978283900047</v>
      </c>
      <c r="AG33" s="168">
        <f>'Other India financials'!AG29</f>
        <v>1385.3257196997927</v>
      </c>
      <c r="AH33" s="168">
        <f>'Other India financials'!AH29</f>
        <v>1155.2415951474004</v>
      </c>
      <c r="AI33" s="168">
        <f>'Other India financials'!AI29</f>
        <v>2620</v>
      </c>
      <c r="AJ33" s="168">
        <f>'Other India financials'!AJ29</f>
        <v>7627.5943302105006</v>
      </c>
      <c r="AK33" s="168">
        <f>'Other India financials'!AK29</f>
        <v>18813.989587486863</v>
      </c>
      <c r="AL33" s="168">
        <f>'Other India financials'!AL29</f>
        <v>4187.8794226710888</v>
      </c>
      <c r="AM33" s="168">
        <f>'Other India financials'!AM29</f>
        <v>5537.8631441685548</v>
      </c>
      <c r="AN33" s="168">
        <f>'Other India financials'!AN29</f>
        <v>5223.2091083894711</v>
      </c>
      <c r="AO33" s="168">
        <f>'Other India financials'!AO29</f>
        <v>7006.1731065480972</v>
      </c>
      <c r="AP33" s="168">
        <f>'Other India financials'!AP29</f>
        <v>6567.1948093342417</v>
      </c>
      <c r="AQ33" s="168">
        <f>'Other India financials'!AQ29</f>
        <v>5622</v>
      </c>
      <c r="AR33" s="168">
        <f>'Other India financials'!AR29</f>
        <v>8367.6731538505937</v>
      </c>
      <c r="AS33" s="168">
        <f>'Other India financials'!AS29</f>
        <v>8478.3709194961175</v>
      </c>
      <c r="AT33" s="168">
        <f>'Other India financials'!AT29</f>
        <v>6860.9199916155339</v>
      </c>
      <c r="AU33" s="168">
        <f>'Other India financials'!AU29</f>
        <v>8792.3909420203145</v>
      </c>
      <c r="AV33" s="168">
        <f>'Other India financials'!AV29</f>
        <v>7660.3561969238835</v>
      </c>
      <c r="AW33" s="168">
        <f>'Other India financials'!AW29</f>
        <v>15598.857207101355</v>
      </c>
      <c r="AX33" s="168">
        <f>'Other India financials'!AX29</f>
        <v>6139.765162952016</v>
      </c>
      <c r="AY33" s="168">
        <f>'Other India financials'!AY29</f>
        <v>9602.8225627805477</v>
      </c>
      <c r="AZ33" s="168">
        <f>'Other India financials'!AZ29</f>
        <v>8549.9817881474719</v>
      </c>
      <c r="BA33" s="168">
        <f>'Other India financials'!BA29</f>
        <v>13582.50675692424</v>
      </c>
      <c r="BB33" s="168">
        <f>'Other India financials'!BB29</f>
        <v>8180.6547712228621</v>
      </c>
      <c r="BC33" s="168">
        <f>'Other India financials'!BC29</f>
        <v>9006.1766218993525</v>
      </c>
      <c r="BD33" s="2"/>
      <c r="BE33" s="2"/>
      <c r="BF33" s="104"/>
      <c r="BG33" s="2"/>
      <c r="BH33" s="2"/>
      <c r="BI33" s="2"/>
      <c r="BJ33" s="2"/>
      <c r="BK33" s="2"/>
      <c r="BL33" s="2"/>
      <c r="BM33" s="2"/>
      <c r="BN33" s="2"/>
      <c r="BO33" s="2"/>
      <c r="BP33" s="2"/>
      <c r="BQ33" s="2"/>
      <c r="BR33" s="2"/>
      <c r="BS33" s="2"/>
      <c r="BT33" s="2"/>
      <c r="BU33" s="2"/>
      <c r="BV33" s="2"/>
      <c r="BW33" s="2"/>
      <c r="BX33" s="2"/>
      <c r="BY33" s="2"/>
      <c r="BZ33" s="2"/>
      <c r="CI33" s="74">
        <f t="shared" si="52"/>
        <v>2040.8896082708461</v>
      </c>
    </row>
    <row r="34" spans="1:87">
      <c r="A34" s="2" t="s">
        <v>32</v>
      </c>
      <c r="B34" s="178">
        <f>'Other India financials'!B39</f>
        <v>4115</v>
      </c>
      <c r="C34" s="178">
        <f>'Other India financials'!C39</f>
        <v>3743</v>
      </c>
      <c r="D34" s="178">
        <f>'Other India financials'!D39</f>
        <v>2440</v>
      </c>
      <c r="E34" s="178">
        <f>'Other India financials'!E39</f>
        <v>1439.5188381000003</v>
      </c>
      <c r="F34" s="178">
        <f>'Other India financials'!F39</f>
        <v>1799.0636147399996</v>
      </c>
      <c r="G34" s="178">
        <f>'Other India financials'!G39</f>
        <v>2385.1969100400011</v>
      </c>
      <c r="H34" s="178">
        <f>'Other India financials'!H39</f>
        <v>1705.9639967999992</v>
      </c>
      <c r="I34" s="178">
        <f>'Other India financials'!I39</f>
        <v>2394.8797286400004</v>
      </c>
      <c r="J34" s="178">
        <f>'Other India financials'!J39</f>
        <v>1727.1480799999999</v>
      </c>
      <c r="K34" s="178">
        <f>'Other India financials'!K39</f>
        <v>1192.9531419999998</v>
      </c>
      <c r="L34" s="178">
        <f>'Other India financials'!L39</f>
        <v>1678.6682880000003</v>
      </c>
      <c r="M34" s="178">
        <f>'Other India financials'!M39</f>
        <v>2939.2472360000002</v>
      </c>
      <c r="N34" s="178">
        <f>'Other India financials'!N39</f>
        <v>2667.4224440000003</v>
      </c>
      <c r="O34" s="178">
        <f>'Other India financials'!O39</f>
        <v>2054.4786259999996</v>
      </c>
      <c r="P34" s="178">
        <f>'Other India financials'!P39</f>
        <v>2570.3509729999982</v>
      </c>
      <c r="Q34" s="178">
        <f>'Other India financials'!Q39</f>
        <v>2719.5433450000014</v>
      </c>
      <c r="R34" s="178">
        <f>'Other India financials'!R39</f>
        <v>2902.4032580000003</v>
      </c>
      <c r="S34" s="178">
        <f>'Other India financials'!S39</f>
        <v>2478.0730490000005</v>
      </c>
      <c r="T34" s="178">
        <f>'Other India financials'!T39</f>
        <v>2388.7639639999998</v>
      </c>
      <c r="U34" s="178">
        <f>'Other India financials'!U39</f>
        <v>2093.0332560000006</v>
      </c>
      <c r="V34" s="178">
        <f>'Other India financials'!V39</f>
        <v>2053.5685314009897</v>
      </c>
      <c r="W34" s="178">
        <f>'Other India financials'!W39</f>
        <v>2127.7810761930109</v>
      </c>
      <c r="X34" s="178">
        <f>'Other India financials'!X39</f>
        <v>3404.9237509399991</v>
      </c>
      <c r="Y34" s="178">
        <f>'Other India financials'!Y39</f>
        <v>2243.0968570799996</v>
      </c>
      <c r="Z34" s="178">
        <f>'Other India financials'!Z39</f>
        <v>3460.6274992900003</v>
      </c>
      <c r="AA34" s="178">
        <f>'Other India financials'!AA39</f>
        <v>2796</v>
      </c>
      <c r="AB34" s="178">
        <f>'Other India financials'!AB39</f>
        <v>2379.9259791740005</v>
      </c>
      <c r="AC34" s="178">
        <f>'Other India financials'!AC39</f>
        <v>2670.4563678099994</v>
      </c>
      <c r="AD34" s="168">
        <f>'Other India financials'!AD39</f>
        <v>2933.59063732</v>
      </c>
      <c r="AE34" s="178">
        <f>'Other India financials'!AE39</f>
        <v>2586.63793498</v>
      </c>
      <c r="AF34" s="168">
        <f>'Other India financials'!AF39</f>
        <v>1876.4381062370014</v>
      </c>
      <c r="AG34" s="168">
        <f>'Other India financials'!AG39</f>
        <v>1710.4532574669993</v>
      </c>
      <c r="AH34" s="168">
        <f>'Other India financials'!AH39</f>
        <v>2036.1736693700002</v>
      </c>
      <c r="AI34" s="168">
        <f>'Other India financials'!AI39</f>
        <v>2136</v>
      </c>
      <c r="AJ34" s="168">
        <f>'Other India financials'!AJ39</f>
        <v>1611.1999999999996</v>
      </c>
      <c r="AK34" s="168">
        <f>'Other India financials'!AK39</f>
        <v>2937.0000000000009</v>
      </c>
      <c r="AL34" s="168">
        <f>'Other India financials'!AL39</f>
        <v>1003.7284100000001</v>
      </c>
      <c r="AM34" s="168">
        <f>'Other India financials'!AM39</f>
        <v>2073.2116249999999</v>
      </c>
      <c r="AN34" s="168">
        <f>'Other India financials'!AN39</f>
        <v>0</v>
      </c>
      <c r="AO34" s="168">
        <f>'Other India financials'!AO39</f>
        <v>0</v>
      </c>
      <c r="AP34" s="168">
        <f>'Other India financials'!AP39</f>
        <v>0</v>
      </c>
      <c r="AQ34" s="168">
        <f>'Other India financials'!AQ39</f>
        <v>0</v>
      </c>
      <c r="AR34" s="168">
        <f>'Other India financials'!AR39</f>
        <v>0</v>
      </c>
      <c r="AS34" s="168">
        <f>'Other India financials'!AS39</f>
        <v>0</v>
      </c>
      <c r="AT34" s="168">
        <f>'Other India financials'!AT39</f>
        <v>0</v>
      </c>
      <c r="AU34" s="168">
        <f>'Other India financials'!AU39</f>
        <v>0</v>
      </c>
      <c r="AV34" s="168">
        <f>'Other India financials'!AV39</f>
        <v>0</v>
      </c>
      <c r="AW34" s="168">
        <f>'Other India financials'!AW39</f>
        <v>0</v>
      </c>
      <c r="AX34" s="168">
        <f>'Other India financials'!AX39</f>
        <v>0</v>
      </c>
      <c r="AY34" s="168">
        <f>'Other India financials'!AY39</f>
        <v>0</v>
      </c>
      <c r="AZ34" s="168">
        <f>'Other India financials'!AZ39</f>
        <v>0</v>
      </c>
      <c r="BA34" s="168">
        <f>'Other India financials'!BA39</f>
        <v>0</v>
      </c>
      <c r="BB34" s="168">
        <f>'Other India financials'!BB39</f>
        <v>0</v>
      </c>
      <c r="BC34" s="168">
        <f>'Other India financials'!BC39</f>
        <v>0</v>
      </c>
      <c r="BD34" s="2"/>
      <c r="BE34" s="2"/>
      <c r="BF34" s="104"/>
      <c r="BG34" s="2"/>
      <c r="BH34" s="2"/>
      <c r="BI34" s="2"/>
      <c r="BJ34" s="2"/>
      <c r="BK34" s="2"/>
      <c r="BL34" s="2"/>
      <c r="BM34" s="2"/>
      <c r="BN34" s="2"/>
      <c r="BO34" s="2"/>
      <c r="BP34" s="2"/>
      <c r="BQ34" s="2"/>
      <c r="BR34" s="2"/>
      <c r="BS34" s="2"/>
      <c r="BT34" s="2"/>
      <c r="BU34" s="2"/>
      <c r="BV34" s="2"/>
      <c r="BW34" s="2"/>
      <c r="BX34" s="2"/>
      <c r="BY34" s="2"/>
      <c r="BZ34" s="2"/>
      <c r="CI34" s="74">
        <f t="shared" si="52"/>
        <v>0</v>
      </c>
    </row>
    <row r="35" spans="1:87">
      <c r="A35" s="2" t="s">
        <v>33</v>
      </c>
      <c r="B35" s="178">
        <f>'International Financials'!B12</f>
        <v>0</v>
      </c>
      <c r="C35" s="178">
        <f>'International Financials'!C12</f>
        <v>0</v>
      </c>
      <c r="D35" s="178">
        <f>'International Financials'!D12</f>
        <v>0</v>
      </c>
      <c r="E35" s="178">
        <f>'International Financials'!E12</f>
        <v>0</v>
      </c>
      <c r="F35" s="178">
        <f>'International Financials'!F12</f>
        <v>1944</v>
      </c>
      <c r="G35" s="178">
        <f>'International Financials'!G12</f>
        <v>1253.5</v>
      </c>
      <c r="H35" s="178">
        <f>'International Financials'!H12</f>
        <v>1100</v>
      </c>
      <c r="I35" s="178">
        <f>'International Financials'!I12</f>
        <v>1100</v>
      </c>
      <c r="J35" s="178">
        <f>'International Financials'!J12</f>
        <v>922.50564600000007</v>
      </c>
      <c r="K35" s="178">
        <f>'International Financials'!K12</f>
        <v>1322.5467280000003</v>
      </c>
      <c r="L35" s="178">
        <f>'International Financials'!L12</f>
        <v>2117.0510800000002</v>
      </c>
      <c r="M35" s="178">
        <f>'International Financials'!M12</f>
        <v>2097.8082870000007</v>
      </c>
      <c r="N35" s="178">
        <f>'International Financials'!N12</f>
        <v>815.10957600000006</v>
      </c>
      <c r="O35" s="178">
        <f>'International Financials'!O12</f>
        <v>661.2002030000001</v>
      </c>
      <c r="P35" s="178">
        <f>'International Financials'!P12</f>
        <v>427.02323199999978</v>
      </c>
      <c r="Q35" s="178">
        <f>'International Financials'!Q12</f>
        <v>1330.0441500000004</v>
      </c>
      <c r="R35" s="178">
        <f>'International Financials'!R12</f>
        <v>992.23521200000005</v>
      </c>
      <c r="S35" s="178">
        <f>'International Financials'!S12</f>
        <v>1316.9507019999996</v>
      </c>
      <c r="T35" s="178">
        <f>'International Financials'!T12</f>
        <v>546.74132300000019</v>
      </c>
      <c r="U35" s="178">
        <f>'International Financials'!U12</f>
        <v>464.96431699999948</v>
      </c>
      <c r="V35" s="178">
        <f>'International Financials'!V12</f>
        <v>530.7239340000001</v>
      </c>
      <c r="W35" s="178">
        <f>'International Financials'!W12</f>
        <v>290.00592322200004</v>
      </c>
      <c r="X35" s="178">
        <f>'International Financials'!X12</f>
        <v>456.93767456600023</v>
      </c>
      <c r="Y35" s="178">
        <f>'International Financials'!Y12</f>
        <v>552.34238154499974</v>
      </c>
      <c r="Z35" s="178">
        <f>'International Financials'!Z12</f>
        <v>278.44516050499999</v>
      </c>
      <c r="AA35" s="178">
        <f>'International Financials'!AA12</f>
        <v>267</v>
      </c>
      <c r="AB35" s="178">
        <f>'International Financials'!AB12</f>
        <v>388.61781918200006</v>
      </c>
      <c r="AC35" s="178">
        <f>'International Financials'!AC12</f>
        <v>300.6469086809999</v>
      </c>
      <c r="AD35" s="168">
        <f>'International Financials'!AD12</f>
        <v>207.92499294700002</v>
      </c>
      <c r="AE35" s="178">
        <f>'International Financials'!AE12</f>
        <v>423</v>
      </c>
      <c r="AF35" s="168">
        <f>'International Financials'!AF12</f>
        <v>389.4</v>
      </c>
      <c r="AG35" s="168">
        <f>'International Financials'!AG12</f>
        <v>163.9</v>
      </c>
      <c r="AH35" s="168">
        <f>'International Financials'!AH12</f>
        <v>-423.42255377800001</v>
      </c>
      <c r="AI35" s="168">
        <f>'International Financials'!AI12</f>
        <v>107</v>
      </c>
      <c r="AJ35" s="168">
        <f>'International Financials'!AJ12</f>
        <v>331.1</v>
      </c>
      <c r="AK35" s="168">
        <f>'International Financials'!AK12</f>
        <v>268.95894654599988</v>
      </c>
      <c r="AL35" s="168">
        <f>'International Financials'!AL12</f>
        <v>334.38177243299998</v>
      </c>
      <c r="AM35" s="168">
        <f>'International Financials'!AM12</f>
        <v>857.85295007199989</v>
      </c>
      <c r="AN35" s="168">
        <f>'International Financials'!AN12</f>
        <v>900.93192579100059</v>
      </c>
      <c r="AO35" s="168">
        <f>'International Financials'!AO12</f>
        <v>1593.3323672490001</v>
      </c>
      <c r="AP35" s="168">
        <f>'International Financials'!AP12</f>
        <v>978.07902759300032</v>
      </c>
      <c r="AQ35" s="168">
        <f>'International Financials'!AQ12</f>
        <v>1414.1546385279994</v>
      </c>
      <c r="AR35" s="168">
        <f>'International Financials'!AR12</f>
        <v>511.99231765299965</v>
      </c>
      <c r="AS35" s="168">
        <f>'International Financials'!AS12</f>
        <v>388</v>
      </c>
      <c r="AT35" s="168">
        <f>'International Financials'!AT12</f>
        <v>221.40233731599997</v>
      </c>
      <c r="AU35" s="168">
        <f>'International Financials'!AU12</f>
        <v>130.06296254399999</v>
      </c>
      <c r="AV35" s="168">
        <f>'International Financials'!AV12</f>
        <v>104.35629280400008</v>
      </c>
      <c r="AW35" s="168">
        <f>'International Financials'!AW12</f>
        <v>523.37970581700006</v>
      </c>
      <c r="AX35" s="168">
        <f>'International Financials'!AX12</f>
        <v>87.261233101999977</v>
      </c>
      <c r="AY35" s="168">
        <f>'International Financials'!AY12</f>
        <v>89.64482546800005</v>
      </c>
      <c r="AZ35" s="168">
        <f>'International Financials'!AZ12</f>
        <v>31.601281729999982</v>
      </c>
      <c r="BA35" s="168">
        <f>'International Financials'!BA12</f>
        <v>58.610977185000081</v>
      </c>
      <c r="BB35" s="168">
        <f>'International Financials'!BB12</f>
        <v>3.9371399999995447</v>
      </c>
      <c r="BC35" s="168">
        <f>'International Financials'!BC12</f>
        <v>0</v>
      </c>
      <c r="BD35" s="2"/>
      <c r="BE35" s="2"/>
      <c r="BF35" s="104"/>
      <c r="BG35" s="2"/>
      <c r="BH35" s="2"/>
      <c r="BI35" s="2"/>
      <c r="BJ35" s="2"/>
      <c r="BK35" s="2"/>
      <c r="BL35" s="2"/>
      <c r="BM35" s="2"/>
      <c r="BN35" s="2"/>
      <c r="BO35" s="2"/>
      <c r="BP35" s="2"/>
      <c r="BQ35" s="2"/>
      <c r="BR35" s="2"/>
      <c r="BS35" s="2"/>
      <c r="BT35" s="2"/>
      <c r="BU35" s="2"/>
      <c r="BV35" s="2"/>
      <c r="BW35" s="2"/>
      <c r="BX35" s="2"/>
      <c r="BY35" s="2"/>
      <c r="BZ35" s="2"/>
      <c r="CI35" s="74">
        <f t="shared" si="52"/>
        <v>-83.324093102000433</v>
      </c>
    </row>
    <row r="36" spans="1:87">
      <c r="A36" s="2" t="s">
        <v>34</v>
      </c>
      <c r="B36" s="178">
        <f>'International Financials'!B25</f>
        <v>18774</v>
      </c>
      <c r="C36" s="178">
        <f>'International Financials'!C25</f>
        <v>25990</v>
      </c>
      <c r="D36" s="178">
        <f>'International Financials'!D25</f>
        <v>13515</v>
      </c>
      <c r="E36" s="178">
        <f>'International Financials'!E25</f>
        <v>12903.199999999999</v>
      </c>
      <c r="F36" s="178">
        <f>'International Financials'!F25</f>
        <v>6426</v>
      </c>
      <c r="G36" s="178">
        <f>'International Financials'!G25</f>
        <v>11445</v>
      </c>
      <c r="H36" s="178">
        <f>'International Financials'!H25</f>
        <v>8800</v>
      </c>
      <c r="I36" s="178">
        <f>'International Financials'!I25</f>
        <v>12925</v>
      </c>
      <c r="J36" s="178">
        <f>'International Financials'!J25</f>
        <v>9232.3259999999991</v>
      </c>
      <c r="K36" s="178">
        <f>'International Financials'!K25</f>
        <v>9639.768</v>
      </c>
      <c r="L36" s="178">
        <f>'International Financials'!L25</f>
        <v>8681.33</v>
      </c>
      <c r="M36" s="178">
        <f>'International Financials'!M25</f>
        <v>10868.407000000001</v>
      </c>
      <c r="N36" s="178">
        <f>'International Financials'!N25</f>
        <v>9571.2900699999991</v>
      </c>
      <c r="O36" s="178">
        <f>'International Financials'!O25</f>
        <v>16020.902760000001</v>
      </c>
      <c r="P36" s="178">
        <f>'International Financials'!P25</f>
        <v>17577.816999999995</v>
      </c>
      <c r="Q36" s="178">
        <f>'International Financials'!Q25</f>
        <v>22210.108</v>
      </c>
      <c r="R36" s="178">
        <f>'International Financials'!R25</f>
        <v>9511.0310000000009</v>
      </c>
      <c r="S36" s="178">
        <f>'International Financials'!S25</f>
        <v>10665.229999999998</v>
      </c>
      <c r="T36" s="178">
        <f>'International Financials'!T25</f>
        <v>12098.864000000003</v>
      </c>
      <c r="U36" s="178">
        <f>'International Financials'!U25</f>
        <v>18667.891189064496</v>
      </c>
      <c r="V36" s="178">
        <f>'International Financials'!V25</f>
        <v>7503.504585341424</v>
      </c>
      <c r="W36" s="178">
        <f>'International Financials'!W25</f>
        <v>6781.3770374301876</v>
      </c>
      <c r="X36" s="178">
        <f>'International Financials'!X25</f>
        <v>4366.2131277775252</v>
      </c>
      <c r="Y36" s="178">
        <f>'International Financials'!Y25</f>
        <v>9032.7416779837931</v>
      </c>
      <c r="Z36" s="178">
        <f>'International Financials'!Z25</f>
        <v>3160.9451196352893</v>
      </c>
      <c r="AA36" s="178">
        <f>'International Financials'!AA25</f>
        <v>3131</v>
      </c>
      <c r="AB36" s="178">
        <f>'International Financials'!AB25</f>
        <v>4667.3656491992861</v>
      </c>
      <c r="AC36" s="178">
        <f>'International Financials'!AC25</f>
        <v>16299.817125767253</v>
      </c>
      <c r="AD36" s="168">
        <f>'International Financials'!AD25</f>
        <v>3295.7369373321226</v>
      </c>
      <c r="AE36" s="178">
        <f>'International Financials'!AE25</f>
        <v>7386</v>
      </c>
      <c r="AF36" s="168">
        <f>'International Financials'!AF25</f>
        <v>7251.3448367515266</v>
      </c>
      <c r="AG36" s="168">
        <f>'International Financials'!AG25</f>
        <v>21495.79104192536</v>
      </c>
      <c r="AH36" s="168">
        <f>'International Financials'!AH25</f>
        <v>6926.9286390100406</v>
      </c>
      <c r="AI36" s="168">
        <f>'International Financials'!AI25</f>
        <v>10326</v>
      </c>
      <c r="AJ36" s="168">
        <f>'International Financials'!AJ25</f>
        <v>10676.807801334775</v>
      </c>
      <c r="AK36" s="168">
        <f>'International Financials'!AK25</f>
        <v>17909</v>
      </c>
      <c r="AL36" s="168">
        <f>'International Financials'!AL25</f>
        <v>5003.817500000001</v>
      </c>
      <c r="AM36" s="168">
        <f>'International Financials'!AM25</f>
        <v>11145.749999999998</v>
      </c>
      <c r="AN36" s="168">
        <f>'International Financials'!AN25</f>
        <v>13822.027083333334</v>
      </c>
      <c r="AO36" s="168">
        <f>'International Financials'!AO25</f>
        <v>15457.332500000004</v>
      </c>
      <c r="AP36" s="168">
        <f>'International Financials'!AP25</f>
        <v>7794.7100000000009</v>
      </c>
      <c r="AQ36" s="168">
        <f>'International Financials'!AQ25</f>
        <v>10315.12138447753</v>
      </c>
      <c r="AR36" s="168">
        <f>'International Financials'!AR25</f>
        <v>13965.082083333333</v>
      </c>
      <c r="AS36" s="168">
        <f>'International Financials'!AS25</f>
        <v>16815.837180886789</v>
      </c>
      <c r="AT36" s="168">
        <f>'International Financials'!AT25</f>
        <v>10880.382500000002</v>
      </c>
      <c r="AU36" s="168">
        <f>'International Financials'!AU25</f>
        <v>13500</v>
      </c>
      <c r="AV36" s="168">
        <f>'International Financials'!AV25</f>
        <v>12077.252950000004</v>
      </c>
      <c r="AW36" s="168">
        <f>'International Financials'!AW25</f>
        <v>23943</v>
      </c>
      <c r="AX36" s="168">
        <f>'International Financials'!AX25</f>
        <v>11502.7955</v>
      </c>
      <c r="AY36" s="168">
        <f>'International Financials'!AY25</f>
        <v>14187.842833333334</v>
      </c>
      <c r="AZ36" s="168">
        <f>'International Financials'!AZ25</f>
        <v>15145.604716666669</v>
      </c>
      <c r="BA36" s="168">
        <f>'International Financials'!BA25</f>
        <v>20192.170050000001</v>
      </c>
      <c r="BB36" s="168">
        <f>'International Financials'!BB25</f>
        <v>12253.927350000002</v>
      </c>
      <c r="BC36" s="168">
        <f>'International Financials'!BC25</f>
        <v>14150.262966666667</v>
      </c>
      <c r="BD36" s="2"/>
      <c r="BE36" s="2"/>
      <c r="BF36" s="104"/>
      <c r="BG36" s="2"/>
      <c r="BH36" s="2"/>
      <c r="BI36" s="2"/>
      <c r="BJ36" s="2"/>
      <c r="BK36" s="2"/>
      <c r="BL36" s="2"/>
      <c r="BM36" s="2"/>
      <c r="BN36" s="2"/>
      <c r="BO36" s="2"/>
      <c r="BP36" s="2"/>
      <c r="BQ36" s="2"/>
      <c r="BR36" s="2"/>
      <c r="BS36" s="2"/>
      <c r="BT36" s="2"/>
      <c r="BU36" s="2"/>
      <c r="BV36" s="2"/>
      <c r="BW36" s="2"/>
      <c r="BX36" s="2"/>
      <c r="BY36" s="2"/>
      <c r="BZ36" s="2"/>
      <c r="CI36" s="74">
        <f t="shared" si="52"/>
        <v>751.13185000000158</v>
      </c>
    </row>
    <row r="37" spans="1:87">
      <c r="A37" s="2" t="s">
        <v>35</v>
      </c>
      <c r="B37" s="179">
        <f t="shared" ref="B37:Y37" si="53">B39-SUM(B30:B36)</f>
        <v>-43401</v>
      </c>
      <c r="C37" s="179">
        <f t="shared" si="53"/>
        <v>-45818</v>
      </c>
      <c r="D37" s="179">
        <f t="shared" si="53"/>
        <v>-22198</v>
      </c>
      <c r="E37" s="179">
        <f t="shared" si="53"/>
        <v>-21811.983485099998</v>
      </c>
      <c r="F37" s="179">
        <f t="shared" si="53"/>
        <v>-2699.9241797400027</v>
      </c>
      <c r="G37" s="179">
        <f t="shared" si="53"/>
        <v>410.6089869599964</v>
      </c>
      <c r="H37" s="179">
        <f t="shared" si="53"/>
        <v>-95.021731660919613</v>
      </c>
      <c r="I37" s="179">
        <f t="shared" si="53"/>
        <v>880.92660151519522</v>
      </c>
      <c r="J37" s="179">
        <f t="shared" si="53"/>
        <v>-1857.8663070000002</v>
      </c>
      <c r="K37" s="179">
        <f t="shared" si="53"/>
        <v>-1257.9740389999897</v>
      </c>
      <c r="L37" s="179">
        <f t="shared" si="53"/>
        <v>-3228.8046940000204</v>
      </c>
      <c r="M37" s="179">
        <f t="shared" si="53"/>
        <v>60.877284993432113</v>
      </c>
      <c r="N37" s="179">
        <f t="shared" si="53"/>
        <v>492.86183799999708</v>
      </c>
      <c r="O37" s="179">
        <f t="shared" si="53"/>
        <v>32.879423000005772</v>
      </c>
      <c r="P37" s="179">
        <f t="shared" si="53"/>
        <v>106.48185699999158</v>
      </c>
      <c r="Q37" s="179">
        <f t="shared" si="53"/>
        <v>229.132617999996</v>
      </c>
      <c r="R37" s="179">
        <f t="shared" si="53"/>
        <v>398.5158750000046</v>
      </c>
      <c r="S37" s="179">
        <f t="shared" si="53"/>
        <v>-10134.349446</v>
      </c>
      <c r="T37" s="179">
        <f t="shared" si="53"/>
        <v>13.911393999987922</v>
      </c>
      <c r="U37" s="179">
        <f t="shared" si="53"/>
        <v>385.35254693552997</v>
      </c>
      <c r="V37" s="179">
        <f t="shared" si="53"/>
        <v>685.8450052575572</v>
      </c>
      <c r="W37" s="179">
        <f t="shared" si="53"/>
        <v>410.72238472683239</v>
      </c>
      <c r="X37" s="179">
        <f t="shared" si="53"/>
        <v>469.39960251947196</v>
      </c>
      <c r="Y37" s="179">
        <f t="shared" si="53"/>
        <v>85.53883180921548</v>
      </c>
      <c r="Z37" s="179">
        <f t="shared" ref="Z37:AA37" si="54">Z39-SUM(Z30:Z36)</f>
        <v>1348.6239816737143</v>
      </c>
      <c r="AA37" s="179">
        <f t="shared" si="54"/>
        <v>1269</v>
      </c>
      <c r="AB37" s="179">
        <f t="shared" ref="AB37" si="55">AB39-SUM(AB30:AB36)</f>
        <v>1472.5564362846853</v>
      </c>
      <c r="AC37" s="179">
        <f t="shared" ref="AC37" si="56">AC39-SUM(AC30:AC36)</f>
        <v>2432.8403104505996</v>
      </c>
      <c r="AD37" s="169">
        <f t="shared" ref="AD37" si="57">AD39-SUM(AD30:AD36)</f>
        <v>1252.7157959118922</v>
      </c>
      <c r="AE37" s="178">
        <f t="shared" ref="AE37:AF37" si="58">AE39-SUM(AE30:AE36)</f>
        <v>1033.8045085495251</v>
      </c>
      <c r="AF37" s="168">
        <f t="shared" si="58"/>
        <v>4544.3359455040336</v>
      </c>
      <c r="AG37" s="168">
        <f t="shared" ref="AG37:AH37" si="59">AG39-SUM(AG30:AG36)</f>
        <v>-359.9014731293064</v>
      </c>
      <c r="AH37" s="168">
        <f t="shared" si="59"/>
        <v>741.40702480596519</v>
      </c>
      <c r="AI37" s="168">
        <f t="shared" ref="AI37:AJ37" si="60">AI39-SUM(AI30:AI36)</f>
        <v>-2</v>
      </c>
      <c r="AJ37" s="168">
        <f t="shared" si="60"/>
        <v>-2.1707607003918383E-2</v>
      </c>
      <c r="AK37" s="168">
        <f t="shared" ref="AK37:AL37" si="61">AK39-SUM(AK30:AK36)</f>
        <v>-2937.1050406823342</v>
      </c>
      <c r="AL37" s="168">
        <f t="shared" si="61"/>
        <v>-1003.7284100000034</v>
      </c>
      <c r="AM37" s="168">
        <f t="shared" ref="AM37:AO37" si="62">AM39-SUM(AM30:AM36)</f>
        <v>-2073.2116250000108</v>
      </c>
      <c r="AN37" s="168">
        <f t="shared" ref="AN37" si="63">AN39-SUM(AN30:AN36)</f>
        <v>0</v>
      </c>
      <c r="AO37" s="168">
        <f t="shared" si="62"/>
        <v>0.40813799950410612</v>
      </c>
      <c r="AP37" s="168">
        <f t="shared" ref="AP37:AQ37" si="64">AP39-SUM(AP30:AP36)</f>
        <v>0.20519390446133912</v>
      </c>
      <c r="AQ37" s="168">
        <f t="shared" si="64"/>
        <v>-1.2760230055282591</v>
      </c>
      <c r="AR37" s="168">
        <f t="shared" ref="AR37" si="65">AR39-SUM(AR30:AR36)</f>
        <v>696.78122816750692</v>
      </c>
      <c r="AS37" s="168">
        <f t="shared" ref="AS37:AT37" si="66">AS39-SUM(AS30:AS36)</f>
        <v>620.02536371235328</v>
      </c>
      <c r="AT37" s="168">
        <f t="shared" si="66"/>
        <v>859.57414976789732</v>
      </c>
      <c r="AU37" s="168">
        <f t="shared" ref="AU37" si="67">AU39-SUM(AU30:AU36)</f>
        <v>654.46881861856673</v>
      </c>
      <c r="AV37" s="168">
        <f t="shared" ref="AV37:AW37" si="68">AV39-SUM(AV30:AV36)</f>
        <v>-3.2081134850159287E-4</v>
      </c>
      <c r="AW37" s="168">
        <f t="shared" si="68"/>
        <v>-0.45487848564516753</v>
      </c>
      <c r="AX37" s="168">
        <f t="shared" ref="AX37:AY37" si="69">AX39-SUM(AX30:AX36)</f>
        <v>0.44912625689175911</v>
      </c>
      <c r="AY37" s="168">
        <f t="shared" si="69"/>
        <v>0</v>
      </c>
      <c r="AZ37" s="168">
        <f t="shared" ref="AZ37:BA37" si="70">AZ39-SUM(AZ30:AZ36)</f>
        <v>0</v>
      </c>
      <c r="BA37" s="168">
        <f t="shared" si="70"/>
        <v>0</v>
      </c>
      <c r="BB37" s="168">
        <f t="shared" ref="BB37:BC37" si="71">BB39-SUM(BB30:BB36)</f>
        <v>0</v>
      </c>
      <c r="BC37" s="168">
        <f t="shared" si="71"/>
        <v>6.286000000545755E-2</v>
      </c>
      <c r="BD37" s="2"/>
      <c r="BE37" s="2"/>
      <c r="BF37" s="104"/>
      <c r="BG37" s="2"/>
      <c r="BH37" s="2"/>
      <c r="BI37" s="2"/>
      <c r="BJ37" s="2"/>
      <c r="BK37" s="2"/>
      <c r="BL37" s="2"/>
      <c r="BM37" s="2"/>
      <c r="BN37" s="2"/>
      <c r="BO37" s="2"/>
      <c r="BP37" s="2"/>
      <c r="BQ37" s="2"/>
      <c r="BR37" s="2"/>
      <c r="BS37" s="2"/>
      <c r="BT37" s="2"/>
      <c r="BU37" s="2"/>
      <c r="BV37" s="2"/>
      <c r="BW37" s="2"/>
      <c r="BX37" s="2"/>
      <c r="BY37" s="2"/>
      <c r="BZ37" s="2"/>
      <c r="CI37" s="74">
        <f t="shared" si="52"/>
        <v>-0.44912625689175911</v>
      </c>
    </row>
    <row r="38" spans="1:87" hidden="1">
      <c r="A38" s="9"/>
      <c r="B38" s="170"/>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70"/>
      <c r="AV38" s="170"/>
      <c r="AW38" s="170"/>
      <c r="AX38" s="170"/>
      <c r="AY38" s="170"/>
      <c r="AZ38" s="170"/>
      <c r="BA38" s="170"/>
      <c r="BB38" s="170"/>
      <c r="BC38" s="170"/>
      <c r="BD38" s="9"/>
      <c r="BE38" s="9"/>
      <c r="BF38" s="2"/>
      <c r="BG38" s="2"/>
      <c r="BH38" s="2"/>
      <c r="BI38" s="2"/>
      <c r="BJ38" s="2"/>
      <c r="BK38" s="2"/>
      <c r="BL38" s="2"/>
      <c r="BM38" s="2"/>
      <c r="BN38" s="2"/>
      <c r="BO38" s="2"/>
      <c r="BP38" s="2"/>
      <c r="BQ38" s="2"/>
      <c r="BR38" s="2"/>
      <c r="BS38" s="2"/>
      <c r="BT38" s="2"/>
      <c r="BU38" s="2"/>
      <c r="BV38" s="2"/>
      <c r="BW38" s="2"/>
      <c r="BX38" s="2"/>
      <c r="BY38" s="2"/>
      <c r="BZ38" s="2"/>
    </row>
    <row r="39" spans="1:87" s="21" customFormat="1">
      <c r="A39" s="186" t="s">
        <v>39</v>
      </c>
      <c r="B39" s="267"/>
      <c r="C39" s="267"/>
      <c r="D39" s="267"/>
      <c r="E39" s="267"/>
      <c r="F39" s="267">
        <v>31157</v>
      </c>
      <c r="G39" s="267">
        <v>35867</v>
      </c>
      <c r="H39" s="267">
        <v>23312</v>
      </c>
      <c r="I39" s="267">
        <v>34043</v>
      </c>
      <c r="J39" s="267">
        <v>21111.085999999999</v>
      </c>
      <c r="K39" s="267">
        <v>20120.417999999998</v>
      </c>
      <c r="L39" s="267">
        <v>24953</v>
      </c>
      <c r="M39" s="267">
        <v>33278</v>
      </c>
      <c r="N39" s="267">
        <v>39857</v>
      </c>
      <c r="O39" s="267">
        <v>37271</v>
      </c>
      <c r="P39" s="267">
        <v>45095</v>
      </c>
      <c r="Q39" s="267">
        <v>64460</v>
      </c>
      <c r="R39" s="267">
        <v>39921</v>
      </c>
      <c r="S39" s="267">
        <v>39920</v>
      </c>
      <c r="T39" s="267">
        <v>55082</v>
      </c>
      <c r="U39" s="267">
        <v>60574</v>
      </c>
      <c r="V39" s="267">
        <v>49252</v>
      </c>
      <c r="W39" s="267">
        <v>52875</v>
      </c>
      <c r="X39" s="267">
        <v>58537</v>
      </c>
      <c r="Y39" s="267">
        <v>38082</v>
      </c>
      <c r="Z39" s="267">
        <v>65857</v>
      </c>
      <c r="AA39" s="267">
        <v>74838</v>
      </c>
      <c r="AB39" s="267">
        <v>64657</v>
      </c>
      <c r="AC39" s="267">
        <v>62824</v>
      </c>
      <c r="AD39" s="267">
        <v>82167</v>
      </c>
      <c r="AE39" s="267">
        <v>76845</v>
      </c>
      <c r="AF39" s="267">
        <v>65679</v>
      </c>
      <c r="AG39" s="267">
        <v>62375</v>
      </c>
      <c r="AH39" s="267">
        <v>50468</v>
      </c>
      <c r="AI39" s="267">
        <v>37901</v>
      </c>
      <c r="AJ39" s="267">
        <v>51831.359748281779</v>
      </c>
      <c r="AK39" s="267">
        <v>110448</v>
      </c>
      <c r="AL39" s="267">
        <v>38749.533921642702</v>
      </c>
      <c r="AM39" s="267">
        <v>65833.433078929185</v>
      </c>
      <c r="AN39" s="267">
        <v>68637.729823150279</v>
      </c>
      <c r="AO39" s="267">
        <v>68465</v>
      </c>
      <c r="AP39" s="267">
        <v>65908</v>
      </c>
      <c r="AQ39" s="267">
        <v>69722</v>
      </c>
      <c r="AR39" s="267">
        <v>61015</v>
      </c>
      <c r="AS39" s="267">
        <v>59971</v>
      </c>
      <c r="AT39" s="267">
        <v>63981.568363245373</v>
      </c>
      <c r="AU39" s="267">
        <v>70469</v>
      </c>
      <c r="AV39" s="267">
        <v>93135.554585358492</v>
      </c>
      <c r="AW39" s="267">
        <v>114360</v>
      </c>
      <c r="AX39" s="267">
        <v>104858</v>
      </c>
      <c r="AY39" s="267">
        <v>92060.654389181494</v>
      </c>
      <c r="AZ39" s="267">
        <v>92739.76602023789</v>
      </c>
      <c r="BA39" s="267">
        <v>105163.20890964971</v>
      </c>
      <c r="BB39" s="267">
        <v>80069.550674239916</v>
      </c>
      <c r="BC39" s="267">
        <v>76749.460322432889</v>
      </c>
      <c r="BD39" s="99"/>
      <c r="BE39" s="99"/>
      <c r="BF39" s="14"/>
      <c r="BG39" s="14"/>
      <c r="BH39" s="14"/>
      <c r="BI39" s="14"/>
      <c r="BJ39" s="14"/>
      <c r="BK39" s="14"/>
      <c r="BL39" s="14"/>
      <c r="BM39" s="14"/>
      <c r="BN39" s="14"/>
      <c r="BO39" s="14"/>
      <c r="BP39" s="14"/>
      <c r="BQ39" s="14"/>
      <c r="BR39" s="14"/>
      <c r="BS39" s="14"/>
      <c r="BT39" s="14"/>
      <c r="BU39" s="14"/>
      <c r="BV39" s="14"/>
      <c r="BW39" s="14"/>
      <c r="BX39" s="14"/>
      <c r="BY39" s="14"/>
      <c r="BZ39" s="14"/>
    </row>
    <row r="40" spans="1:87">
      <c r="A40" s="2"/>
      <c r="B40" s="178"/>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68"/>
      <c r="AE40" s="178"/>
      <c r="AF40" s="168"/>
      <c r="AG40" s="168"/>
      <c r="AH40" s="168"/>
      <c r="AI40" s="168"/>
      <c r="AJ40" s="168"/>
      <c r="AK40" s="168"/>
      <c r="AL40" s="168"/>
      <c r="AM40" s="168"/>
      <c r="AN40" s="168"/>
      <c r="AO40" s="168"/>
      <c r="AP40" s="168"/>
      <c r="AQ40" s="168"/>
      <c r="AR40" s="168"/>
      <c r="AS40" s="168"/>
      <c r="AT40" s="168"/>
      <c r="AU40" s="168"/>
      <c r="AV40" s="168"/>
      <c r="AW40" s="168"/>
      <c r="AX40" s="168"/>
      <c r="AY40" s="168"/>
      <c r="AZ40" s="168"/>
      <c r="BA40" s="168"/>
      <c r="BB40" s="168"/>
      <c r="BC40" s="168"/>
      <c r="BD40" s="2"/>
      <c r="BE40" s="2"/>
      <c r="BF40" s="2"/>
      <c r="BG40" s="2"/>
      <c r="BH40" s="2"/>
      <c r="BI40" s="2"/>
      <c r="BJ40" s="2"/>
      <c r="BK40" s="2"/>
      <c r="BL40" s="2"/>
      <c r="BM40" s="2"/>
      <c r="BN40" s="2"/>
      <c r="BO40" s="2"/>
      <c r="BP40" s="2"/>
      <c r="BQ40" s="2"/>
      <c r="BR40" s="2"/>
      <c r="BS40" s="2"/>
      <c r="BT40" s="2"/>
      <c r="BU40" s="2"/>
      <c r="BV40" s="2"/>
      <c r="BW40" s="2"/>
      <c r="BX40" s="2"/>
      <c r="BY40" s="2"/>
      <c r="BZ40" s="2"/>
    </row>
    <row r="41" spans="1:87">
      <c r="A41" s="13" t="s">
        <v>40</v>
      </c>
      <c r="B41" s="178"/>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68"/>
      <c r="AE41" s="178"/>
      <c r="AF41" s="16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2"/>
      <c r="BE41" s="2"/>
      <c r="BF41" s="2"/>
      <c r="BG41" s="2"/>
      <c r="BH41" s="2"/>
      <c r="BI41" s="2"/>
      <c r="BJ41" s="2"/>
      <c r="BK41" s="2"/>
      <c r="BL41" s="2"/>
      <c r="BM41" s="2"/>
      <c r="BN41" s="2"/>
      <c r="BO41" s="2"/>
      <c r="BP41" s="2"/>
      <c r="BQ41" s="2"/>
      <c r="BR41" s="2"/>
      <c r="BS41" s="2"/>
      <c r="BT41" s="2"/>
      <c r="BU41" s="2"/>
      <c r="BV41" s="2"/>
      <c r="BW41" s="2"/>
      <c r="BX41" s="2"/>
      <c r="BY41" s="2"/>
      <c r="BZ41" s="2"/>
    </row>
    <row r="42" spans="1:87">
      <c r="A42" s="2" t="s">
        <v>21</v>
      </c>
      <c r="B42" s="178">
        <f t="shared" ref="B42:Y42" si="72">B16-B30</f>
        <v>20162</v>
      </c>
      <c r="C42" s="178">
        <f t="shared" si="72"/>
        <v>20915</v>
      </c>
      <c r="D42" s="178">
        <f t="shared" si="72"/>
        <v>32593</v>
      </c>
      <c r="E42" s="178">
        <f t="shared" si="72"/>
        <v>31064</v>
      </c>
      <c r="F42" s="178">
        <f t="shared" si="72"/>
        <v>13066</v>
      </c>
      <c r="G42" s="178">
        <f t="shared" si="72"/>
        <v>16603</v>
      </c>
      <c r="H42" s="178">
        <f t="shared" si="72"/>
        <v>23152</v>
      </c>
      <c r="I42" s="178">
        <f t="shared" si="72"/>
        <v>20568</v>
      </c>
      <c r="J42" s="178">
        <f t="shared" si="72"/>
        <v>29725.684354999979</v>
      </c>
      <c r="K42" s="178">
        <f t="shared" si="72"/>
        <v>30807.475555000045</v>
      </c>
      <c r="L42" s="178">
        <f t="shared" si="72"/>
        <v>26218.826226999965</v>
      </c>
      <c r="M42" s="178">
        <f t="shared" si="72"/>
        <v>29246.184953000044</v>
      </c>
      <c r="N42" s="178">
        <f t="shared" si="72"/>
        <v>24182.013527000003</v>
      </c>
      <c r="O42" s="178">
        <f t="shared" si="72"/>
        <v>31568.089819606314</v>
      </c>
      <c r="P42" s="178">
        <f t="shared" si="72"/>
        <v>28390.734005863298</v>
      </c>
      <c r="Q42" s="178">
        <f t="shared" si="72"/>
        <v>17145.190998028374</v>
      </c>
      <c r="R42" s="178">
        <f t="shared" si="72"/>
        <v>31323.599579000009</v>
      </c>
      <c r="S42" s="178">
        <f t="shared" si="72"/>
        <v>21663.981669999979</v>
      </c>
      <c r="T42" s="178">
        <f t="shared" si="72"/>
        <v>21561.866061999965</v>
      </c>
      <c r="U42" s="178">
        <f t="shared" si="72"/>
        <v>24822.323532000104</v>
      </c>
      <c r="V42" s="178">
        <f t="shared" si="72"/>
        <v>31934.530963999976</v>
      </c>
      <c r="W42" s="178">
        <f t="shared" si="72"/>
        <v>25719.675681993991</v>
      </c>
      <c r="X42" s="178">
        <f t="shared" si="72"/>
        <v>8894.9066154699613</v>
      </c>
      <c r="Y42" s="178">
        <f t="shared" si="72"/>
        <v>27330.352346184052</v>
      </c>
      <c r="Z42" s="178">
        <f t="shared" ref="Z42:AA42" si="73">Z16-Z30</f>
        <v>-6448</v>
      </c>
      <c r="AA42" s="178">
        <f t="shared" si="73"/>
        <v>-18966</v>
      </c>
      <c r="AB42" s="178">
        <f t="shared" ref="AB42:AC42" si="74">AB16-AB30</f>
        <v>-14265.726444634063</v>
      </c>
      <c r="AC42" s="178">
        <f t="shared" si="74"/>
        <v>-4126.1658611611492</v>
      </c>
      <c r="AD42" s="168">
        <f t="shared" ref="AD42" si="75">AD16-AD30</f>
        <v>-41747.184683211992</v>
      </c>
      <c r="AE42" s="178">
        <f t="shared" ref="AE42:AF42" si="76">AE16-AE30</f>
        <v>-37394.638350683483</v>
      </c>
      <c r="AF42" s="168">
        <f t="shared" si="76"/>
        <v>-17776.206055552415</v>
      </c>
      <c r="AG42" s="168">
        <f t="shared" ref="AG42:AH42" si="77">AG16-AG30</f>
        <v>-8974.6105588539504</v>
      </c>
      <c r="AH42" s="168">
        <f t="shared" si="77"/>
        <v>2315.8272871094159</v>
      </c>
      <c r="AI42" s="168">
        <f t="shared" ref="AI42:AJ42" si="78">AI16-AI30</f>
        <v>20274</v>
      </c>
      <c r="AJ42" s="168">
        <f t="shared" si="78"/>
        <v>14694.261617658471</v>
      </c>
      <c r="AK42" s="168">
        <f t="shared" ref="AK42:AL42" si="79">AK16-AK30</f>
        <v>-19172.833215467384</v>
      </c>
      <c r="AL42" s="168">
        <f t="shared" si="79"/>
        <v>26642.720897857638</v>
      </c>
      <c r="AM42" s="168">
        <f t="shared" ref="AM42:AO42" si="80">AM16-AM30</f>
        <v>17182.801541684588</v>
      </c>
      <c r="AN42" s="168">
        <f t="shared" ref="AN42" si="81">AN16-AN30</f>
        <v>22549.393406951654</v>
      </c>
      <c r="AO42" s="168">
        <f t="shared" si="80"/>
        <v>29504.267814018516</v>
      </c>
      <c r="AP42" s="168">
        <f t="shared" ref="AP42:AQ42" si="82">AP16-AP30</f>
        <v>26590.973400785588</v>
      </c>
      <c r="AQ42" s="168">
        <f t="shared" si="82"/>
        <v>28386</v>
      </c>
      <c r="AR42" s="168">
        <f t="shared" ref="AR42" si="83">AR16-AR30</f>
        <v>49924.802981606255</v>
      </c>
      <c r="AS42" s="168">
        <f t="shared" ref="AS42:AT42" si="84">AS16-AS30</f>
        <v>63041.583782053189</v>
      </c>
      <c r="AT42" s="168">
        <f t="shared" si="84"/>
        <v>56581.121138052738</v>
      </c>
      <c r="AU42" s="168">
        <f t="shared" ref="AU42" si="85">AU16-AU30</f>
        <v>60283.872525433493</v>
      </c>
      <c r="AV42" s="168">
        <f t="shared" ref="AV42:AW42" si="86">AV16-AV30</f>
        <v>40327.915457522628</v>
      </c>
      <c r="AW42" s="168">
        <f t="shared" si="86"/>
        <v>38755.987688527355</v>
      </c>
      <c r="AX42" s="168">
        <f t="shared" ref="AX42:AY42" si="87">AX16-AX30</f>
        <v>33375.413078090438</v>
      </c>
      <c r="AY42" s="168">
        <f t="shared" si="87"/>
        <v>58183.303093945222</v>
      </c>
      <c r="AZ42" s="168">
        <f t="shared" ref="AZ42:BA42" si="88">AZ16-AZ30</f>
        <v>61760.729503006121</v>
      </c>
      <c r="BA42" s="168">
        <f t="shared" si="88"/>
        <v>61504.865087122416</v>
      </c>
      <c r="BB42" s="168">
        <f t="shared" ref="BB42:BC42" si="89">BB16-BB30</f>
        <v>76793.353299086535</v>
      </c>
      <c r="BC42" s="168">
        <f t="shared" si="89"/>
        <v>101828.77644618513</v>
      </c>
      <c r="BD42" s="2"/>
      <c r="BE42" s="2"/>
      <c r="BF42" s="2"/>
      <c r="BG42" s="2"/>
      <c r="BH42" s="2"/>
      <c r="BI42" s="2"/>
      <c r="BJ42" s="2"/>
      <c r="BK42" s="2"/>
      <c r="BL42" s="2"/>
      <c r="BM42" s="2"/>
      <c r="BN42" s="2"/>
      <c r="BO42" s="2"/>
      <c r="BP42" s="2"/>
      <c r="BQ42" s="2"/>
      <c r="BR42" s="2"/>
      <c r="BS42" s="2"/>
      <c r="BT42" s="2"/>
      <c r="BU42" s="2"/>
      <c r="BV42" s="2"/>
      <c r="BW42" s="2"/>
      <c r="BX42" s="2"/>
      <c r="BY42" s="2"/>
      <c r="BZ42" s="2"/>
    </row>
    <row r="43" spans="1:87">
      <c r="A43" s="2" t="s">
        <v>41</v>
      </c>
      <c r="B43" s="178">
        <f t="shared" ref="B43:Y43" si="90">SUM(B17:B19)-SUM(B31:B33)</f>
        <v>-403</v>
      </c>
      <c r="C43" s="178">
        <f t="shared" si="90"/>
        <v>2626</v>
      </c>
      <c r="D43" s="178">
        <f t="shared" si="90"/>
        <v>1235</v>
      </c>
      <c r="E43" s="178">
        <f t="shared" si="90"/>
        <v>2801.9414390000106</v>
      </c>
      <c r="F43" s="178">
        <f t="shared" si="90"/>
        <v>260.96805500000028</v>
      </c>
      <c r="G43" s="178">
        <f t="shared" si="90"/>
        <v>2640.275247</v>
      </c>
      <c r="H43" s="178">
        <f t="shared" si="90"/>
        <v>2875.6876051390827</v>
      </c>
      <c r="I43" s="178">
        <f t="shared" si="90"/>
        <v>3824.6545781551877</v>
      </c>
      <c r="J43" s="178">
        <f t="shared" si="90"/>
        <v>4109.1402969999999</v>
      </c>
      <c r="K43" s="178">
        <f t="shared" si="90"/>
        <v>5509.7005959999988</v>
      </c>
      <c r="L43" s="178">
        <f t="shared" si="90"/>
        <v>6507.1831589999956</v>
      </c>
      <c r="M43" s="178">
        <f t="shared" si="90"/>
        <v>4029.9717679934447</v>
      </c>
      <c r="N43" s="178">
        <f t="shared" si="90"/>
        <v>5175.1200689999987</v>
      </c>
      <c r="O43" s="178">
        <f t="shared" si="90"/>
        <v>6524.9786905602823</v>
      </c>
      <c r="P43" s="178">
        <f t="shared" si="90"/>
        <v>6005.5904901367376</v>
      </c>
      <c r="Q43" s="178">
        <f t="shared" si="90"/>
        <v>6949.248807685517</v>
      </c>
      <c r="R43" s="178">
        <f t="shared" si="90"/>
        <v>7870.5684070000061</v>
      </c>
      <c r="S43" s="178">
        <f t="shared" si="90"/>
        <v>8262.3230590000021</v>
      </c>
      <c r="T43" s="178">
        <f t="shared" si="90"/>
        <v>5462.8357999999898</v>
      </c>
      <c r="U43" s="178">
        <f t="shared" si="90"/>
        <v>8422.4442740000213</v>
      </c>
      <c r="V43" s="178">
        <f t="shared" si="90"/>
        <v>7120.2062549999973</v>
      </c>
      <c r="W43" s="178">
        <f t="shared" si="90"/>
        <v>8607.5242456720189</v>
      </c>
      <c r="X43" s="178">
        <f t="shared" si="90"/>
        <v>8978.6159730569652</v>
      </c>
      <c r="Y43" s="178">
        <f t="shared" si="90"/>
        <v>10274.234589537995</v>
      </c>
      <c r="Z43" s="178">
        <f t="shared" ref="Z43:AA43" si="91">SUM(Z17:Z19)-SUM(Z31:Z33)</f>
        <v>8777.2909783239993</v>
      </c>
      <c r="AA43" s="178">
        <f t="shared" si="91"/>
        <v>9791</v>
      </c>
      <c r="AB43" s="178">
        <f t="shared" ref="AB43:AC43" si="92">SUM(AB17:AB19)-SUM(AB31:AB33)</f>
        <v>12042.469929327002</v>
      </c>
      <c r="AC43" s="178">
        <f t="shared" si="92"/>
        <v>10554.890226699012</v>
      </c>
      <c r="AD43" s="168">
        <f t="shared" ref="AD43" si="93">SUM(AD17:AD19)-SUM(AD31:AD33)</f>
        <v>12167.664768611003</v>
      </c>
      <c r="AE43" s="178">
        <f t="shared" ref="AE43:AF43" si="94">SUM(AE17:AE19)-SUM(AE31:AE33)</f>
        <v>11098.240864023985</v>
      </c>
      <c r="AF43" s="168">
        <f t="shared" si="94"/>
        <v>1939.6277425999833</v>
      </c>
      <c r="AG43" s="168">
        <f t="shared" ref="AG43:AH43" si="95">SUM(AG17:AG19)-SUM(AG31:AG33)</f>
        <v>11230.034033440057</v>
      </c>
      <c r="AH43" s="168">
        <f t="shared" si="95"/>
        <v>10681.449539580608</v>
      </c>
      <c r="AI43" s="168">
        <f t="shared" ref="AI43:AJ43" si="96">SUM(AI17:AI19)-SUM(AI31:AI33)</f>
        <v>11749</v>
      </c>
      <c r="AJ43" s="168">
        <f t="shared" si="96"/>
        <v>7070.7207358544983</v>
      </c>
      <c r="AK43" s="168">
        <f t="shared" ref="AK43:AL43" si="97">SUM(AK17:AK19)-SUM(AK31:AK33)</f>
        <v>-2175.2726702449072</v>
      </c>
      <c r="AL43" s="168">
        <f t="shared" si="97"/>
        <v>13439.105911499671</v>
      </c>
      <c r="AM43" s="168">
        <f t="shared" ref="AM43:AO43" si="98">SUM(AM17:AM19)-SUM(AM31:AM33)</f>
        <v>10059.207513753165</v>
      </c>
      <c r="AN43" s="168">
        <f t="shared" ref="AN43" si="99">SUM(AN17:AN19)-SUM(AN31:AN33)</f>
        <v>10594.907209318393</v>
      </c>
      <c r="AO43" s="168">
        <f t="shared" si="98"/>
        <v>9295.4377205611927</v>
      </c>
      <c r="AP43" s="168">
        <f t="shared" ref="AP43:AQ43" si="100">SUM(AP17:AP19)-SUM(AP31:AP33)</f>
        <v>9944.4006424568652</v>
      </c>
      <c r="AQ43" s="168">
        <f t="shared" si="100"/>
        <v>13314</v>
      </c>
      <c r="AR43" s="168">
        <f t="shared" ref="AR43" si="101">SUM(AR17:AR19)-SUM(AR31:AR33)</f>
        <v>8696.6049971866014</v>
      </c>
      <c r="AS43" s="168">
        <f t="shared" ref="AS43:AT43" si="102">SUM(AS17:AS19)-SUM(AS31:AS33)</f>
        <v>9587.1251995727434</v>
      </c>
      <c r="AT43" s="168">
        <f t="shared" si="102"/>
        <v>10783.06165094907</v>
      </c>
      <c r="AU43" s="168">
        <f t="shared" ref="AU43" si="103">SUM(AU17:AU19)-SUM(AU31:AU33)</f>
        <v>9895.9532394218622</v>
      </c>
      <c r="AV43" s="168">
        <f t="shared" ref="AV43:AW43" si="104">SUM(AV17:AV19)-SUM(AV31:AV33)</f>
        <v>11194.08698912711</v>
      </c>
      <c r="AW43" s="168">
        <f t="shared" si="104"/>
        <v>5864.5462024098124</v>
      </c>
      <c r="AX43" s="168">
        <f t="shared" ref="AX43:AY43" si="105">SUM(AX17:AX19)-SUM(AX31:AX33)</f>
        <v>15125.597930602424</v>
      </c>
      <c r="AY43" s="168">
        <f t="shared" si="105"/>
        <v>9936.2288553336039</v>
      </c>
      <c r="AZ43" s="168">
        <f t="shared" ref="AZ43:BA43" si="106">SUM(AZ17:AZ19)-SUM(AZ31:AZ33)</f>
        <v>11210.181796070789</v>
      </c>
      <c r="BA43" s="168">
        <f t="shared" si="106"/>
        <v>6976.6328706957393</v>
      </c>
      <c r="BB43" s="168">
        <f t="shared" ref="BB43:BC43" si="107">SUM(BB17:BB19)-SUM(BB31:BB33)</f>
        <v>11792.960516673564</v>
      </c>
      <c r="BC43" s="168">
        <f t="shared" si="107"/>
        <v>8936.0890580486448</v>
      </c>
      <c r="BD43" s="2"/>
      <c r="BE43" s="2"/>
      <c r="BF43" s="2"/>
      <c r="BG43" s="2"/>
      <c r="BH43" s="2"/>
      <c r="BI43" s="2"/>
      <c r="BJ43" s="2"/>
      <c r="BK43" s="2"/>
      <c r="BL43" s="2"/>
      <c r="BM43" s="2"/>
      <c r="BN43" s="2"/>
      <c r="BO43" s="2"/>
      <c r="BP43" s="2"/>
      <c r="BQ43" s="2"/>
      <c r="BR43" s="2"/>
      <c r="BS43" s="2"/>
      <c r="BT43" s="2"/>
      <c r="BU43" s="2"/>
      <c r="BV43" s="2"/>
      <c r="BW43" s="2"/>
      <c r="BX43" s="2"/>
      <c r="BY43" s="2"/>
      <c r="BZ43" s="2"/>
    </row>
    <row r="44" spans="1:87">
      <c r="A44" s="2" t="s">
        <v>42</v>
      </c>
      <c r="B44" s="178">
        <f t="shared" ref="B44:Y44" si="108">B20-B34</f>
        <v>4470</v>
      </c>
      <c r="C44" s="178">
        <f t="shared" si="108"/>
        <v>5159</v>
      </c>
      <c r="D44" s="178">
        <f t="shared" si="108"/>
        <v>6670</v>
      </c>
      <c r="E44" s="178">
        <f t="shared" si="108"/>
        <v>2485.9964488799997</v>
      </c>
      <c r="F44" s="178">
        <f t="shared" si="108"/>
        <v>1891.7646493199991</v>
      </c>
      <c r="G44" s="178">
        <f t="shared" si="108"/>
        <v>1637.0283820800005</v>
      </c>
      <c r="H44" s="178">
        <f t="shared" si="108"/>
        <v>2393.6042747399943</v>
      </c>
      <c r="I44" s="178">
        <f t="shared" si="108"/>
        <v>1987.8075949199983</v>
      </c>
      <c r="J44" s="178">
        <f t="shared" si="108"/>
        <v>4018.1676120000002</v>
      </c>
      <c r="K44" s="178">
        <f t="shared" si="108"/>
        <v>4227.6454180000019</v>
      </c>
      <c r="L44" s="178">
        <f t="shared" si="108"/>
        <v>3665.348688999999</v>
      </c>
      <c r="M44" s="178">
        <f t="shared" si="108"/>
        <v>3400.9184860000014</v>
      </c>
      <c r="N44" s="178">
        <f t="shared" si="108"/>
        <v>3405.4217119999989</v>
      </c>
      <c r="O44" s="178">
        <f t="shared" si="108"/>
        <v>4301.0067159999981</v>
      </c>
      <c r="P44" s="178">
        <f t="shared" si="108"/>
        <v>3979.6407040000054</v>
      </c>
      <c r="Q44" s="178">
        <f t="shared" si="108"/>
        <v>4045.9768570000001</v>
      </c>
      <c r="R44" s="178">
        <f t="shared" si="108"/>
        <v>3888.5599929999998</v>
      </c>
      <c r="S44" s="178">
        <f t="shared" si="108"/>
        <v>3804.0569160000005</v>
      </c>
      <c r="T44" s="178">
        <f t="shared" si="108"/>
        <v>4201.5401539999984</v>
      </c>
      <c r="U44" s="178">
        <f t="shared" si="108"/>
        <v>4995.3958010000006</v>
      </c>
      <c r="V44" s="178">
        <f t="shared" si="108"/>
        <v>4784.3591965990117</v>
      </c>
      <c r="W44" s="178">
        <f t="shared" si="108"/>
        <v>4977.7426608069873</v>
      </c>
      <c r="X44" s="178">
        <f t="shared" si="108"/>
        <v>3885.998259060003</v>
      </c>
      <c r="Y44" s="178">
        <f t="shared" si="108"/>
        <v>5699.8869999199969</v>
      </c>
      <c r="Z44" s="178">
        <f t="shared" ref="Z44:AA44" si="109">Z20-Z34</f>
        <v>4493.7423127099992</v>
      </c>
      <c r="AA44" s="178">
        <f t="shared" si="109"/>
        <v>5334</v>
      </c>
      <c r="AB44" s="178">
        <f t="shared" ref="AB44:AC44" si="110">AB20-AB34</f>
        <v>5938.0543768260013</v>
      </c>
      <c r="AC44" s="178">
        <f t="shared" si="110"/>
        <v>5473.6707821899972</v>
      </c>
      <c r="AD44" s="168">
        <f t="shared" ref="AD44" si="111">AD20-AD34</f>
        <v>4881.071890680003</v>
      </c>
      <c r="AE44" s="178">
        <f t="shared" ref="AE44:AF44" si="112">AE20-AE34</f>
        <v>5381.4929530199925</v>
      </c>
      <c r="AF44" s="168">
        <f t="shared" si="112"/>
        <v>6633.1790957630037</v>
      </c>
      <c r="AG44" s="168">
        <f t="shared" ref="AG44:AH44" si="113">AG20-AG34</f>
        <v>6456.5606135329963</v>
      </c>
      <c r="AH44" s="168">
        <f t="shared" si="113"/>
        <v>8018.8948026299986</v>
      </c>
      <c r="AI44" s="168">
        <f t="shared" ref="AI44:AJ44" si="114">AI20-AI34</f>
        <v>7132</v>
      </c>
      <c r="AJ44" s="168">
        <f t="shared" si="114"/>
        <v>7170.9744990000045</v>
      </c>
      <c r="AK44" s="168">
        <f t="shared" ref="AK44:AL44" si="115">AK20-AK34</f>
        <v>6094.6390199999978</v>
      </c>
      <c r="AL44" s="168">
        <f t="shared" si="115"/>
        <v>7738.2936279999994</v>
      </c>
      <c r="AM44" s="168">
        <f t="shared" ref="AM44:AO44" si="116">AM20-AM34</f>
        <v>7219.8819910000002</v>
      </c>
      <c r="AN44" s="168">
        <f t="shared" ref="AN44" si="117">AN20-AN34</f>
        <v>0</v>
      </c>
      <c r="AO44" s="168">
        <f t="shared" si="116"/>
        <v>0</v>
      </c>
      <c r="AP44" s="168">
        <f t="shared" ref="AP44:AQ44" si="118">AP20-AP34</f>
        <v>0</v>
      </c>
      <c r="AQ44" s="168">
        <f t="shared" si="118"/>
        <v>0</v>
      </c>
      <c r="AR44" s="168">
        <f t="shared" ref="AR44" si="119">AR20-AR34</f>
        <v>0</v>
      </c>
      <c r="AS44" s="168">
        <f t="shared" ref="AS44:AT44" si="120">AS20-AS34</f>
        <v>0</v>
      </c>
      <c r="AT44" s="168">
        <f t="shared" si="120"/>
        <v>0</v>
      </c>
      <c r="AU44" s="168">
        <f t="shared" ref="AU44" si="121">AU20-AU34</f>
        <v>0</v>
      </c>
      <c r="AV44" s="168">
        <f t="shared" ref="AV44:AW44" si="122">AV20-AV34</f>
        <v>0</v>
      </c>
      <c r="AW44" s="168">
        <f t="shared" si="122"/>
        <v>0</v>
      </c>
      <c r="AX44" s="168">
        <f t="shared" ref="AX44:AY46" si="123">AX20-AX34</f>
        <v>0</v>
      </c>
      <c r="AY44" s="168">
        <f t="shared" si="123"/>
        <v>0</v>
      </c>
      <c r="AZ44" s="168">
        <f t="shared" ref="AZ44:BA44" si="124">AZ20-AZ34</f>
        <v>0</v>
      </c>
      <c r="BA44" s="168">
        <f t="shared" si="124"/>
        <v>0</v>
      </c>
      <c r="BB44" s="168">
        <f t="shared" ref="BB44:BC44" si="125">BB20-BB34</f>
        <v>0</v>
      </c>
      <c r="BC44" s="168">
        <f t="shared" si="125"/>
        <v>0</v>
      </c>
      <c r="BD44" s="2"/>
      <c r="BE44" s="2"/>
      <c r="BF44" s="2"/>
      <c r="BG44" s="2"/>
      <c r="BH44" s="2"/>
      <c r="BI44" s="2"/>
      <c r="BJ44" s="2"/>
      <c r="BK44" s="2"/>
      <c r="BL44" s="2"/>
      <c r="BM44" s="2"/>
      <c r="BN44" s="2"/>
      <c r="BO44" s="2"/>
      <c r="BP44" s="2"/>
      <c r="BQ44" s="2"/>
      <c r="BR44" s="2"/>
      <c r="BS44" s="2"/>
      <c r="BT44" s="2"/>
      <c r="BU44" s="2"/>
      <c r="BV44" s="2"/>
      <c r="BW44" s="2"/>
      <c r="BX44" s="2"/>
      <c r="BY44" s="2"/>
      <c r="BZ44" s="2"/>
    </row>
    <row r="45" spans="1:87">
      <c r="A45" s="2" t="s">
        <v>33</v>
      </c>
      <c r="B45" s="178">
        <f t="shared" ref="B45:Y45" si="126">B21-B35</f>
        <v>0</v>
      </c>
      <c r="C45" s="178">
        <f t="shared" si="126"/>
        <v>0</v>
      </c>
      <c r="D45" s="178">
        <f t="shared" si="126"/>
        <v>0</v>
      </c>
      <c r="E45" s="178">
        <f t="shared" si="126"/>
        <v>0</v>
      </c>
      <c r="F45" s="178">
        <f t="shared" si="126"/>
        <v>-2376</v>
      </c>
      <c r="G45" s="178">
        <f t="shared" si="126"/>
        <v>-1635</v>
      </c>
      <c r="H45" s="178">
        <f t="shared" si="126"/>
        <v>-1210</v>
      </c>
      <c r="I45" s="178">
        <f t="shared" si="126"/>
        <v>-1111</v>
      </c>
      <c r="J45" s="178">
        <f t="shared" si="126"/>
        <v>-758.38245499999971</v>
      </c>
      <c r="K45" s="178">
        <f t="shared" si="126"/>
        <v>-1058.8854740000006</v>
      </c>
      <c r="L45" s="178">
        <f t="shared" si="126"/>
        <v>-1803.9820510000009</v>
      </c>
      <c r="M45" s="178">
        <f t="shared" si="126"/>
        <v>-1802.2532979999964</v>
      </c>
      <c r="N45" s="178">
        <f t="shared" si="126"/>
        <v>-581.70555800000068</v>
      </c>
      <c r="O45" s="178">
        <f t="shared" si="126"/>
        <v>-553.90170499999942</v>
      </c>
      <c r="P45" s="178">
        <f t="shared" si="126"/>
        <v>-697.77256899999634</v>
      </c>
      <c r="Q45" s="178">
        <f t="shared" si="126"/>
        <v>-1595.731319000005</v>
      </c>
      <c r="R45" s="178">
        <f t="shared" si="126"/>
        <v>-1467.7712530000001</v>
      </c>
      <c r="S45" s="178">
        <f t="shared" si="126"/>
        <v>-1558.8947199999996</v>
      </c>
      <c r="T45" s="178">
        <f t="shared" si="126"/>
        <v>-917.3970400000012</v>
      </c>
      <c r="U45" s="178">
        <f t="shared" si="126"/>
        <v>-177.47619399999894</v>
      </c>
      <c r="V45" s="178">
        <f t="shared" si="126"/>
        <v>-556.54109799999969</v>
      </c>
      <c r="W45" s="178">
        <f t="shared" si="126"/>
        <v>-80.261610550000057</v>
      </c>
      <c r="X45" s="178">
        <f t="shared" si="126"/>
        <v>-295.35693448300441</v>
      </c>
      <c r="Y45" s="178">
        <f t="shared" si="126"/>
        <v>-660.33255592700084</v>
      </c>
      <c r="Z45" s="178">
        <f t="shared" ref="Z45:AA45" si="127">Z21-Z35</f>
        <v>-340.6950915729999</v>
      </c>
      <c r="AA45" s="178">
        <f t="shared" si="127"/>
        <v>-282</v>
      </c>
      <c r="AB45" s="178">
        <f t="shared" ref="AB45:AC45" si="128">AB21-AB35</f>
        <v>-370.47304183999984</v>
      </c>
      <c r="AC45" s="178">
        <f t="shared" si="128"/>
        <v>-233.72828382999967</v>
      </c>
      <c r="AD45" s="168">
        <f t="shared" ref="AD45" si="129">AD21-AD35</f>
        <v>-197.93026114700041</v>
      </c>
      <c r="AE45" s="178">
        <f t="shared" ref="AE45:AF45" si="130">AE21-AE35</f>
        <v>-393</v>
      </c>
      <c r="AF45" s="168">
        <f t="shared" si="130"/>
        <v>-347.59031230400012</v>
      </c>
      <c r="AG45" s="168">
        <f t="shared" ref="AG45:AH45" si="131">AG21-AG35</f>
        <v>-119.27135881099835</v>
      </c>
      <c r="AH45" s="168">
        <f t="shared" si="131"/>
        <v>515.42255377800006</v>
      </c>
      <c r="AI45" s="168">
        <f t="shared" ref="AI45:AJ45" si="132">AI21-AI35</f>
        <v>-23</v>
      </c>
      <c r="AJ45" s="168">
        <f t="shared" si="132"/>
        <v>-225.04659684600051</v>
      </c>
      <c r="AK45" s="168">
        <f t="shared" ref="AK45:AL45" si="133">AK21-AK35</f>
        <v>-121.99685395899769</v>
      </c>
      <c r="AL45" s="168">
        <f t="shared" si="133"/>
        <v>-236.14274806299994</v>
      </c>
      <c r="AM45" s="168">
        <f t="shared" ref="AM45:AO45" si="134">AM21-AM35</f>
        <v>-741.81621145499957</v>
      </c>
      <c r="AN45" s="168">
        <f t="shared" ref="AN45" si="135">AN21-AN35</f>
        <v>-862.10985144300105</v>
      </c>
      <c r="AO45" s="168">
        <f t="shared" si="134"/>
        <v>-1714.9854889780004</v>
      </c>
      <c r="AP45" s="168">
        <f t="shared" ref="AP45:AQ45" si="136">AP21-AP35</f>
        <v>-1088.7750752790002</v>
      </c>
      <c r="AQ45" s="168">
        <f t="shared" si="136"/>
        <v>-1555.484845214999</v>
      </c>
      <c r="AR45" s="168">
        <f t="shared" ref="AR45" si="137">AR21-AR35</f>
        <v>-720.78176893700095</v>
      </c>
      <c r="AS45" s="168">
        <f t="shared" ref="AS45:AT45" si="138">AS21-AS35</f>
        <v>-548</v>
      </c>
      <c r="AT45" s="168">
        <f t="shared" si="138"/>
        <v>-329.48429716800001</v>
      </c>
      <c r="AU45" s="168">
        <f t="shared" ref="AU45" si="139">AU21-AU35</f>
        <v>-270.77663726100104</v>
      </c>
      <c r="AV45" s="168">
        <f t="shared" ref="AV45:AW45" si="140">AV21-AV35</f>
        <v>-235.44938002199854</v>
      </c>
      <c r="AW45" s="168">
        <f t="shared" si="140"/>
        <v>-661.77149485200107</v>
      </c>
      <c r="AX45" s="168">
        <f t="shared" ref="AX45" si="141">AX21-AX35</f>
        <v>-199.67302355799981</v>
      </c>
      <c r="AY45" s="168">
        <f t="shared" si="123"/>
        <v>-209.48929829700015</v>
      </c>
      <c r="AZ45" s="168">
        <f t="shared" ref="AZ45:BA45" si="142">AZ21-AZ35</f>
        <v>-182.64639729400028</v>
      </c>
      <c r="BA45" s="168">
        <f t="shared" si="142"/>
        <v>-324.10473851599994</v>
      </c>
      <c r="BB45" s="168">
        <f t="shared" ref="BB45:BC45" si="143">BB21-BB35</f>
        <v>-170.08713999999955</v>
      </c>
      <c r="BC45" s="168">
        <f t="shared" si="143"/>
        <v>0</v>
      </c>
      <c r="BD45" s="2"/>
      <c r="BE45" s="2"/>
      <c r="BF45" s="2"/>
      <c r="BG45" s="2"/>
      <c r="BH45" s="2"/>
      <c r="BI45" s="2"/>
      <c r="BJ45" s="2"/>
      <c r="BK45" s="2"/>
      <c r="BL45" s="2"/>
      <c r="BM45" s="2"/>
      <c r="BN45" s="2"/>
      <c r="BO45" s="2"/>
      <c r="BP45" s="2"/>
      <c r="BQ45" s="2"/>
      <c r="BR45" s="2"/>
      <c r="BS45" s="2"/>
      <c r="BT45" s="2"/>
      <c r="BU45" s="2"/>
      <c r="BV45" s="2"/>
      <c r="BW45" s="2"/>
      <c r="BX45" s="2"/>
      <c r="BY45" s="2"/>
      <c r="BZ45" s="2"/>
    </row>
    <row r="46" spans="1:87">
      <c r="A46" s="9" t="s">
        <v>34</v>
      </c>
      <c r="B46" s="170">
        <f t="shared" ref="B46:Y46" si="144">B22-B36</f>
        <v>-7777.7999999999993</v>
      </c>
      <c r="C46" s="170">
        <f t="shared" si="144"/>
        <v>-13786</v>
      </c>
      <c r="D46" s="170">
        <f t="shared" si="144"/>
        <v>867</v>
      </c>
      <c r="E46" s="170">
        <f t="shared" si="144"/>
        <v>2235.2000000000007</v>
      </c>
      <c r="F46" s="170">
        <f t="shared" si="144"/>
        <v>8424</v>
      </c>
      <c r="G46" s="170">
        <f t="shared" si="144"/>
        <v>4796</v>
      </c>
      <c r="H46" s="170">
        <f t="shared" si="144"/>
        <v>7700</v>
      </c>
      <c r="I46" s="170">
        <f t="shared" si="144"/>
        <v>2750</v>
      </c>
      <c r="J46" s="170">
        <f t="shared" si="144"/>
        <v>6666.5891940000038</v>
      </c>
      <c r="K46" s="170">
        <f t="shared" si="144"/>
        <v>9364.6899060000032</v>
      </c>
      <c r="L46" s="170">
        <f t="shared" si="144"/>
        <v>9971.046828000015</v>
      </c>
      <c r="M46" s="170">
        <f t="shared" si="144"/>
        <v>6981.4851229999822</v>
      </c>
      <c r="N46" s="170">
        <f t="shared" si="144"/>
        <v>7386.3333420000017</v>
      </c>
      <c r="O46" s="170">
        <f t="shared" si="144"/>
        <v>288.61188400000901</v>
      </c>
      <c r="P46" s="170">
        <f t="shared" si="144"/>
        <v>-2624.667067000024</v>
      </c>
      <c r="Q46" s="170">
        <f t="shared" si="144"/>
        <v>-9308.727283000022</v>
      </c>
      <c r="R46" s="170">
        <f t="shared" si="144"/>
        <v>3162.6029890000027</v>
      </c>
      <c r="S46" s="170">
        <f t="shared" si="144"/>
        <v>2029.8123889999915</v>
      </c>
      <c r="T46" s="170">
        <f t="shared" si="144"/>
        <v>1187.7848379999832</v>
      </c>
      <c r="U46" s="170">
        <f t="shared" si="144"/>
        <v>-4434.6454570645074</v>
      </c>
      <c r="V46" s="170">
        <f t="shared" si="144"/>
        <v>6494.7591686585683</v>
      </c>
      <c r="W46" s="170">
        <f t="shared" si="144"/>
        <v>5465.8121201298072</v>
      </c>
      <c r="X46" s="170">
        <f t="shared" si="144"/>
        <v>8579.2501878974472</v>
      </c>
      <c r="Y46" s="170">
        <f t="shared" si="144"/>
        <v>4032.5757584412149</v>
      </c>
      <c r="Z46" s="170">
        <f t="shared" ref="Z46:AA46" si="145">Z22-Z36</f>
        <v>10455.164171644705</v>
      </c>
      <c r="AA46" s="170">
        <f t="shared" si="145"/>
        <v>13683</v>
      </c>
      <c r="AB46" s="170">
        <f t="shared" ref="AB46:AC46" si="146">AB22-AB36</f>
        <v>13520.553967681693</v>
      </c>
      <c r="AC46" s="170">
        <f t="shared" si="146"/>
        <v>1561.5095348643135</v>
      </c>
      <c r="AD46" s="170">
        <f t="shared" ref="AD46" si="147">AD22-AD36</f>
        <v>15925.162963972325</v>
      </c>
      <c r="AE46" s="170">
        <f t="shared" ref="AE46:AF46" si="148">AE22-AE36</f>
        <v>13548.255039373929</v>
      </c>
      <c r="AF46" s="170">
        <f t="shared" si="148"/>
        <v>14616.774771180459</v>
      </c>
      <c r="AG46" s="170">
        <f t="shared" ref="AG46:AH46" si="149">AG22-AG36</f>
        <v>112.47572710151508</v>
      </c>
      <c r="AH46" s="170">
        <f t="shared" si="149"/>
        <v>17279.063203551472</v>
      </c>
      <c r="AI46" s="170">
        <f t="shared" ref="AI46:AJ46" si="150">AI22-AI36</f>
        <v>15756</v>
      </c>
      <c r="AJ46" s="170">
        <f t="shared" si="150"/>
        <v>17654.044601509988</v>
      </c>
      <c r="AK46" s="170">
        <f t="shared" ref="AK46:AL46" si="151">AK22-AK36</f>
        <v>10731.351451533032</v>
      </c>
      <c r="AL46" s="170">
        <f t="shared" si="151"/>
        <v>23421.420081814987</v>
      </c>
      <c r="AM46" s="170">
        <f t="shared" ref="AM46:AO46" si="152">AM22-AM36</f>
        <v>21306.854396361967</v>
      </c>
      <c r="AN46" s="170">
        <f t="shared" ref="AN46" si="153">AN22-AN36</f>
        <v>22030.084300558665</v>
      </c>
      <c r="AO46" s="170">
        <f t="shared" si="152"/>
        <v>20792.704516255981</v>
      </c>
      <c r="AP46" s="170">
        <f t="shared" ref="AP46:AQ46" si="154">AP22-AP36</f>
        <v>31478.125667117005</v>
      </c>
      <c r="AQ46" s="170">
        <f t="shared" si="154"/>
        <v>31428.13633379844</v>
      </c>
      <c r="AR46" s="170">
        <f t="shared" ref="AR46" si="155">AR22-AR36</f>
        <v>31224.513465206677</v>
      </c>
      <c r="AS46" s="170">
        <f t="shared" ref="AS46:AT46" si="156">AS22-AS36</f>
        <v>29049.221191518234</v>
      </c>
      <c r="AT46" s="170">
        <f t="shared" si="156"/>
        <v>36500.944988894975</v>
      </c>
      <c r="AU46" s="170">
        <f t="shared" ref="AU46" si="157">AU22-AU36</f>
        <v>37751.757737889995</v>
      </c>
      <c r="AV46" s="170">
        <f t="shared" ref="AV46:AW46" si="158">AV22-AV36</f>
        <v>42390.405001169864</v>
      </c>
      <c r="AW46" s="170">
        <f t="shared" si="158"/>
        <v>30237.045980566138</v>
      </c>
      <c r="AX46" s="170">
        <f t="shared" ref="AX46" si="159">AX22-AX36</f>
        <v>44528.029492768968</v>
      </c>
      <c r="AY46" s="170">
        <f t="shared" si="123"/>
        <v>36969.853916998771</v>
      </c>
      <c r="AZ46" s="170">
        <f t="shared" ref="AZ46:BA46" si="160">AZ22-AZ36</f>
        <v>35444.732745466354</v>
      </c>
      <c r="BA46" s="170">
        <f t="shared" si="160"/>
        <v>23044.736200850937</v>
      </c>
      <c r="BB46" s="170">
        <f t="shared" ref="BB46:BC46" si="161">BB22-BB36</f>
        <v>31362.601747564255</v>
      </c>
      <c r="BC46" s="170">
        <f t="shared" si="161"/>
        <v>33108.237799808849</v>
      </c>
      <c r="BD46" s="2"/>
      <c r="BE46" s="2"/>
      <c r="BF46" s="2"/>
      <c r="BG46" s="2"/>
      <c r="BH46" s="2"/>
      <c r="BI46" s="2"/>
      <c r="BJ46" s="2"/>
      <c r="BK46" s="2"/>
      <c r="BL46" s="2"/>
      <c r="BM46" s="2"/>
      <c r="BN46" s="2"/>
      <c r="BO46" s="2"/>
      <c r="BP46" s="2"/>
      <c r="BQ46" s="2"/>
      <c r="BR46" s="2"/>
      <c r="BS46" s="2"/>
      <c r="BT46" s="2"/>
      <c r="BU46" s="2"/>
      <c r="BV46" s="2"/>
      <c r="BW46" s="2"/>
      <c r="BX46" s="2"/>
      <c r="BY46" s="2"/>
      <c r="BZ46" s="2"/>
    </row>
    <row r="47" spans="1:87">
      <c r="A47" s="13" t="s">
        <v>40</v>
      </c>
      <c r="B47" s="177">
        <f t="shared" ref="B47:Y47" si="162">B25-B39</f>
        <v>57508</v>
      </c>
      <c r="C47" s="177">
        <f t="shared" si="162"/>
        <v>58151</v>
      </c>
      <c r="D47" s="177">
        <f t="shared" si="162"/>
        <v>59584</v>
      </c>
      <c r="E47" s="177">
        <f t="shared" si="162"/>
        <v>62329</v>
      </c>
      <c r="F47" s="177">
        <f t="shared" si="162"/>
        <v>23699</v>
      </c>
      <c r="G47" s="177">
        <f t="shared" si="162"/>
        <v>23502</v>
      </c>
      <c r="H47" s="177">
        <f t="shared" si="162"/>
        <v>38527</v>
      </c>
      <c r="I47" s="177">
        <f t="shared" si="162"/>
        <v>28386</v>
      </c>
      <c r="J47" s="177">
        <f t="shared" si="162"/>
        <v>44337.914000000004</v>
      </c>
      <c r="K47" s="177">
        <f t="shared" si="162"/>
        <v>48200.582000000002</v>
      </c>
      <c r="L47" s="177">
        <f t="shared" si="162"/>
        <v>46053</v>
      </c>
      <c r="M47" s="177">
        <f t="shared" si="162"/>
        <v>39908</v>
      </c>
      <c r="N47" s="177">
        <f t="shared" si="162"/>
        <v>37812</v>
      </c>
      <c r="O47" s="177">
        <f t="shared" si="162"/>
        <v>40223</v>
      </c>
      <c r="P47" s="177">
        <f t="shared" si="162"/>
        <v>33181</v>
      </c>
      <c r="Q47" s="177">
        <f t="shared" si="162"/>
        <v>16045</v>
      </c>
      <c r="R47" s="177">
        <f t="shared" si="162"/>
        <v>42696</v>
      </c>
      <c r="S47" s="177">
        <f t="shared" si="162"/>
        <v>42733</v>
      </c>
      <c r="T47" s="177">
        <f t="shared" si="162"/>
        <v>29666</v>
      </c>
      <c r="U47" s="177">
        <f t="shared" si="162"/>
        <v>31310</v>
      </c>
      <c r="V47" s="177">
        <f t="shared" si="162"/>
        <v>46661</v>
      </c>
      <c r="W47" s="177">
        <f t="shared" si="162"/>
        <v>41787</v>
      </c>
      <c r="X47" s="177">
        <f t="shared" si="162"/>
        <v>27168</v>
      </c>
      <c r="Y47" s="177">
        <f t="shared" si="162"/>
        <v>41846</v>
      </c>
      <c r="Z47" s="177">
        <f t="shared" ref="Z47" si="163">Z25-Z39</f>
        <v>12374</v>
      </c>
      <c r="AA47" s="177">
        <f t="shared" ref="AA47:AF47" si="164">AA25-AA39</f>
        <v>5199</v>
      </c>
      <c r="AB47" s="177">
        <f t="shared" si="164"/>
        <v>11214</v>
      </c>
      <c r="AC47" s="177">
        <f t="shared" si="164"/>
        <v>7517</v>
      </c>
      <c r="AD47" s="171">
        <f t="shared" si="164"/>
        <v>-13797</v>
      </c>
      <c r="AE47" s="177">
        <f t="shared" si="164"/>
        <v>-13412</v>
      </c>
      <c r="AF47" s="171">
        <f t="shared" si="164"/>
        <v>-2610</v>
      </c>
      <c r="AG47" s="171">
        <f t="shared" ref="AG47:AH47" si="165">AG25-AG39</f>
        <v>5689</v>
      </c>
      <c r="AH47" s="171">
        <f t="shared" si="165"/>
        <v>34458</v>
      </c>
      <c r="AI47" s="171">
        <f t="shared" ref="AI47:AJ47" si="166">AI25-AI39</f>
        <v>51462</v>
      </c>
      <c r="AJ47" s="171">
        <f t="shared" si="166"/>
        <v>41669.611906492129</v>
      </c>
      <c r="AK47" s="171">
        <f t="shared" ref="AK47:AL47" si="167">AK25-AK39</f>
        <v>-12836</v>
      </c>
      <c r="AL47" s="171">
        <f t="shared" si="167"/>
        <v>62436.026551990282</v>
      </c>
      <c r="AM47" s="171">
        <f t="shared" ref="AM47:AO47" si="168">AM25-AM39</f>
        <v>46759.823587880936</v>
      </c>
      <c r="AN47" s="171">
        <f t="shared" ref="AN47" si="169">AN25-AN39</f>
        <v>53139.45303640663</v>
      </c>
      <c r="AO47" s="171">
        <f t="shared" si="168"/>
        <v>57366</v>
      </c>
      <c r="AP47" s="171">
        <f t="shared" ref="AP47:AQ47" si="170">AP25-AP39</f>
        <v>65986</v>
      </c>
      <c r="AQ47" s="171">
        <f t="shared" si="170"/>
        <v>70455</v>
      </c>
      <c r="AR47" s="171">
        <f t="shared" ref="AR47" si="171">AR25-AR39</f>
        <v>88032</v>
      </c>
      <c r="AS47" s="171">
        <f t="shared" ref="AS47:AT47" si="172">AS25-AS39</f>
        <v>100013</v>
      </c>
      <c r="AT47" s="171">
        <f t="shared" si="172"/>
        <v>102062.49081186551</v>
      </c>
      <c r="AU47" s="171">
        <f t="shared" ref="AU47:AV47" si="173">AU25-AU39</f>
        <v>106743</v>
      </c>
      <c r="AV47" s="171">
        <f t="shared" si="173"/>
        <v>92871.93332810163</v>
      </c>
      <c r="AW47" s="171">
        <f t="shared" ref="AW47:AY47" si="174">AW25-AW39</f>
        <v>73707</v>
      </c>
      <c r="AX47" s="171">
        <f t="shared" si="174"/>
        <v>92603</v>
      </c>
      <c r="AY47" s="171">
        <f t="shared" si="174"/>
        <v>104588.91137091644</v>
      </c>
      <c r="AZ47" s="171">
        <f t="shared" ref="AZ47:BA47" si="175">AZ25-AZ39</f>
        <v>107702.87297764614</v>
      </c>
      <c r="BA47" s="171">
        <f t="shared" si="175"/>
        <v>90741.754821654773</v>
      </c>
      <c r="BB47" s="171">
        <f t="shared" ref="BB47:BC47" si="176">BB25-BB39</f>
        <v>119372.44932576008</v>
      </c>
      <c r="BC47" s="171">
        <f t="shared" si="176"/>
        <v>143459.53967756711</v>
      </c>
      <c r="BD47" s="13"/>
      <c r="BE47" s="13"/>
      <c r="BF47" s="2"/>
      <c r="BG47" s="2"/>
      <c r="BH47" s="2"/>
      <c r="BI47" s="2"/>
      <c r="BJ47" s="2"/>
      <c r="BK47" s="2"/>
      <c r="BL47" s="2"/>
      <c r="BM47" s="2"/>
      <c r="BN47" s="2"/>
      <c r="BO47" s="2"/>
      <c r="BP47" s="2"/>
      <c r="BQ47" s="2"/>
      <c r="BR47" s="2"/>
      <c r="BS47" s="2"/>
      <c r="BT47" s="2"/>
      <c r="BU47" s="2"/>
      <c r="BV47" s="2"/>
      <c r="BW47" s="2"/>
      <c r="BX47" s="2"/>
      <c r="BY47" s="2"/>
      <c r="BZ47" s="2"/>
    </row>
    <row r="48" spans="1:87">
      <c r="A48" s="2"/>
      <c r="B48" s="113"/>
      <c r="C48" s="113"/>
      <c r="D48" s="113"/>
      <c r="E48" s="113"/>
      <c r="F48" s="113"/>
      <c r="G48" s="113"/>
      <c r="H48" s="113"/>
      <c r="I48" s="113"/>
      <c r="J48" s="113"/>
      <c r="K48" s="113"/>
      <c r="L48" s="113"/>
      <c r="M48" s="113"/>
      <c r="N48" s="113"/>
      <c r="O48" s="113"/>
      <c r="P48" s="113"/>
      <c r="Q48" s="113"/>
      <c r="R48" s="113"/>
      <c r="S48" s="113"/>
      <c r="T48" s="113"/>
      <c r="U48" s="113"/>
      <c r="V48" s="113"/>
      <c r="W48" s="113"/>
      <c r="X48" s="113"/>
      <c r="Y48" s="113"/>
      <c r="Z48" s="113"/>
      <c r="AA48" s="113"/>
      <c r="AB48" s="113"/>
      <c r="AC48" s="113"/>
      <c r="AD48" s="181"/>
      <c r="AE48" s="113"/>
      <c r="AF48" s="181"/>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113"/>
      <c r="BC48" s="113"/>
      <c r="BD48" s="2"/>
      <c r="BE48" s="2"/>
      <c r="BF48" s="2"/>
      <c r="BG48" s="2"/>
      <c r="BH48" s="2"/>
      <c r="BI48" s="2"/>
      <c r="BJ48" s="2"/>
      <c r="BK48" s="2"/>
      <c r="BL48" s="2"/>
      <c r="BM48" s="2"/>
      <c r="BN48" s="2"/>
      <c r="BO48" s="2"/>
      <c r="BP48" s="2"/>
      <c r="BQ48" s="2"/>
      <c r="BR48" s="2"/>
      <c r="BS48" s="2"/>
      <c r="BT48" s="2"/>
      <c r="BU48" s="2"/>
      <c r="BV48" s="2"/>
      <c r="BW48" s="2"/>
      <c r="BX48" s="2"/>
      <c r="BY48" s="2"/>
      <c r="BZ48" s="2"/>
    </row>
    <row r="49" spans="1:78">
      <c r="A49" s="13"/>
      <c r="B49" s="177"/>
      <c r="C49" s="177"/>
      <c r="D49" s="177"/>
      <c r="E49" s="177"/>
      <c r="F49" s="177"/>
      <c r="G49" s="177"/>
      <c r="H49" s="177"/>
      <c r="I49" s="177"/>
      <c r="J49" s="177"/>
      <c r="K49" s="177"/>
      <c r="L49" s="177"/>
      <c r="M49" s="177"/>
      <c r="N49" s="177"/>
      <c r="O49" s="177"/>
      <c r="P49" s="177"/>
      <c r="Q49" s="177"/>
      <c r="R49" s="177"/>
      <c r="S49" s="177"/>
      <c r="T49" s="177"/>
      <c r="U49" s="177"/>
      <c r="V49" s="177"/>
      <c r="W49" s="177"/>
      <c r="X49" s="177"/>
      <c r="Y49" s="177"/>
      <c r="Z49" s="177"/>
      <c r="AA49" s="177"/>
      <c r="AB49" s="177"/>
      <c r="AC49" s="177"/>
      <c r="AD49" s="171"/>
      <c r="AE49" s="177"/>
      <c r="AF49" s="171"/>
      <c r="AG49" s="177"/>
      <c r="AH49" s="177"/>
      <c r="AI49" s="177"/>
      <c r="AJ49" s="177"/>
      <c r="AK49" s="177"/>
      <c r="AL49" s="177"/>
      <c r="AM49" s="177"/>
      <c r="AN49" s="177"/>
      <c r="AO49" s="177"/>
      <c r="AP49" s="177"/>
      <c r="AQ49" s="177"/>
      <c r="AR49" s="177"/>
      <c r="AS49" s="177"/>
      <c r="AT49" s="177"/>
      <c r="AU49" s="177"/>
      <c r="AV49" s="177"/>
      <c r="AW49" s="177"/>
      <c r="AX49" s="177"/>
      <c r="AY49" s="177"/>
      <c r="AZ49" s="177"/>
      <c r="BA49" s="177"/>
      <c r="BB49" s="177"/>
      <c r="BC49" s="177"/>
      <c r="BD49" s="2"/>
      <c r="BE49" s="2"/>
      <c r="BF49" s="2"/>
      <c r="BG49" s="2"/>
      <c r="BH49" s="2"/>
      <c r="BI49" s="2"/>
      <c r="BJ49" s="2"/>
      <c r="BK49" s="2"/>
      <c r="BL49" s="2"/>
      <c r="BM49" s="2"/>
      <c r="BN49" s="2"/>
      <c r="BO49" s="2"/>
      <c r="BP49" s="2"/>
      <c r="BQ49" s="2"/>
      <c r="BR49" s="2"/>
      <c r="BS49" s="2"/>
      <c r="BT49" s="2"/>
      <c r="BU49" s="2"/>
      <c r="BV49" s="2"/>
      <c r="BW49" s="2"/>
      <c r="BX49" s="2"/>
      <c r="BY49" s="2"/>
      <c r="BZ49" s="2"/>
    </row>
    <row r="50" spans="1:78" s="27" customFormat="1">
      <c r="A50" s="510" t="s">
        <v>411</v>
      </c>
      <c r="B50" s="511" t="str">
        <f t="shared" ref="B50:Y50" si="177">B1</f>
        <v>Q1 12</v>
      </c>
      <c r="C50" s="511" t="str">
        <f t="shared" si="177"/>
        <v>Q2 12</v>
      </c>
      <c r="D50" s="511" t="str">
        <f t="shared" si="177"/>
        <v>Q3 12</v>
      </c>
      <c r="E50" s="511" t="str">
        <f t="shared" si="177"/>
        <v>4Q12</v>
      </c>
      <c r="F50" s="511" t="str">
        <f t="shared" si="177"/>
        <v>1Q13</v>
      </c>
      <c r="G50" s="511" t="str">
        <f t="shared" si="177"/>
        <v>2Q13</v>
      </c>
      <c r="H50" s="511" t="str">
        <f t="shared" si="177"/>
        <v>3Q13</v>
      </c>
      <c r="I50" s="511" t="str">
        <f t="shared" si="177"/>
        <v>4Q13</v>
      </c>
      <c r="J50" s="511" t="str">
        <f t="shared" si="177"/>
        <v>1Q14</v>
      </c>
      <c r="K50" s="511" t="str">
        <f t="shared" si="177"/>
        <v>2Q14</v>
      </c>
      <c r="L50" s="511" t="str">
        <f t="shared" si="177"/>
        <v>3Q14</v>
      </c>
      <c r="M50" s="511" t="str">
        <f t="shared" si="177"/>
        <v>4Q14</v>
      </c>
      <c r="N50" s="511" t="str">
        <f t="shared" si="177"/>
        <v>1Q15</v>
      </c>
      <c r="O50" s="511" t="str">
        <f t="shared" si="177"/>
        <v>2Q15</v>
      </c>
      <c r="P50" s="511" t="str">
        <f t="shared" si="177"/>
        <v>3Q15</v>
      </c>
      <c r="Q50" s="511" t="str">
        <f t="shared" si="177"/>
        <v>4Q15</v>
      </c>
      <c r="R50" s="511" t="str">
        <f t="shared" si="177"/>
        <v>1Q16</v>
      </c>
      <c r="S50" s="511" t="str">
        <f t="shared" si="177"/>
        <v>2Q16</v>
      </c>
      <c r="T50" s="511" t="str">
        <f t="shared" si="177"/>
        <v>3Q16</v>
      </c>
      <c r="U50" s="511" t="str">
        <f t="shared" si="177"/>
        <v>4Q16</v>
      </c>
      <c r="V50" s="511" t="str">
        <f t="shared" si="177"/>
        <v>1Q17</v>
      </c>
      <c r="W50" s="511" t="str">
        <f t="shared" si="177"/>
        <v>2Q17</v>
      </c>
      <c r="X50" s="511" t="str">
        <f t="shared" si="177"/>
        <v>3Q17</v>
      </c>
      <c r="Y50" s="511" t="str">
        <f t="shared" si="177"/>
        <v>4Q17</v>
      </c>
      <c r="Z50" s="511" t="str">
        <f t="shared" ref="Z50:AE50" si="178">Z1</f>
        <v>1Q18</v>
      </c>
      <c r="AA50" s="511" t="str">
        <f t="shared" si="178"/>
        <v>2Q18</v>
      </c>
      <c r="AB50" s="511" t="str">
        <f t="shared" si="178"/>
        <v>3Q18</v>
      </c>
      <c r="AC50" s="511" t="str">
        <f t="shared" si="178"/>
        <v>4Q18</v>
      </c>
      <c r="AD50" s="511" t="str">
        <f t="shared" si="178"/>
        <v>1Q19</v>
      </c>
      <c r="AE50" s="511" t="str">
        <f t="shared" si="178"/>
        <v>2Q19</v>
      </c>
      <c r="AF50" s="511" t="str">
        <f t="shared" ref="AF50:AG50" si="179">AF1</f>
        <v>3Q19</v>
      </c>
      <c r="AG50" s="511" t="str">
        <f t="shared" si="179"/>
        <v>4Q19</v>
      </c>
      <c r="AH50" s="511" t="str">
        <f t="shared" ref="AH50:AI50" si="180">AH1</f>
        <v>1Q20</v>
      </c>
      <c r="AI50" s="511" t="str">
        <f t="shared" si="180"/>
        <v>2Q20</v>
      </c>
      <c r="AJ50" s="511" t="str">
        <f t="shared" ref="AJ50:AK50" si="181">AJ1</f>
        <v>3Q20</v>
      </c>
      <c r="AK50" s="511" t="str">
        <f t="shared" si="181"/>
        <v>4Q20</v>
      </c>
      <c r="AL50" s="511" t="str">
        <f t="shared" ref="AL50:AM50" si="182">AL1</f>
        <v>1Q21</v>
      </c>
      <c r="AM50" s="511" t="str">
        <f t="shared" si="182"/>
        <v>2Q21</v>
      </c>
      <c r="AN50" s="511" t="str">
        <f t="shared" ref="AN50:AO50" si="183">AN1</f>
        <v>3Q21</v>
      </c>
      <c r="AO50" s="511" t="str">
        <f t="shared" si="183"/>
        <v>4Q21</v>
      </c>
      <c r="AP50" s="511" t="str">
        <f t="shared" ref="AP50:AQ50" si="184">AP1</f>
        <v>1Q22</v>
      </c>
      <c r="AQ50" s="511" t="str">
        <f t="shared" si="184"/>
        <v>2Q22</v>
      </c>
      <c r="AR50" s="511" t="str">
        <f t="shared" ref="AR50:AS50" si="185">AR1</f>
        <v>3Q22</v>
      </c>
      <c r="AS50" s="511" t="str">
        <f t="shared" si="185"/>
        <v>4Q22</v>
      </c>
      <c r="AT50" s="511" t="str">
        <f t="shared" ref="AT50:AU50" si="186">AT1</f>
        <v>1Q23</v>
      </c>
      <c r="AU50" s="511" t="str">
        <f t="shared" si="186"/>
        <v>2Q23</v>
      </c>
      <c r="AV50" s="511" t="str">
        <f t="shared" ref="AV50:AW50" si="187">AV1</f>
        <v>3Q23</v>
      </c>
      <c r="AW50" s="511" t="str">
        <f t="shared" si="187"/>
        <v>4Q23</v>
      </c>
      <c r="AX50" s="511" t="str">
        <f t="shared" ref="AX50:AY50" si="188">AX1</f>
        <v>1Q24</v>
      </c>
      <c r="AY50" s="511" t="str">
        <f t="shared" si="188"/>
        <v>2Q24</v>
      </c>
      <c r="AZ50" s="511" t="str">
        <f t="shared" ref="AZ50:BA50" si="189">AZ1</f>
        <v>3Q24</v>
      </c>
      <c r="BA50" s="511" t="str">
        <f t="shared" si="189"/>
        <v>4Q24</v>
      </c>
      <c r="BB50" s="511" t="str">
        <f t="shared" ref="BB50:BC50" si="190">BB1</f>
        <v>1Q25</v>
      </c>
      <c r="BC50" s="511" t="str">
        <f t="shared" si="190"/>
        <v>2Q25</v>
      </c>
      <c r="BD50" s="510"/>
      <c r="BE50" s="510"/>
      <c r="BF50" s="176"/>
      <c r="BG50" s="176"/>
      <c r="BH50" s="176"/>
      <c r="BI50" s="176"/>
      <c r="BJ50" s="176"/>
      <c r="BK50" s="176"/>
      <c r="BL50" s="176"/>
      <c r="BM50" s="176"/>
      <c r="BN50" s="176"/>
      <c r="BO50" s="176"/>
      <c r="BP50" s="176"/>
      <c r="BQ50" s="176"/>
      <c r="BR50" s="176"/>
      <c r="BS50" s="176"/>
      <c r="BT50" s="176"/>
      <c r="BU50" s="176"/>
      <c r="BV50" s="176"/>
      <c r="BW50" s="176"/>
      <c r="BX50" s="176"/>
      <c r="BY50" s="176"/>
      <c r="BZ50" s="176"/>
    </row>
    <row r="51" spans="1:78" s="27" customFormat="1">
      <c r="A51" s="510" t="s">
        <v>413</v>
      </c>
      <c r="B51" s="511"/>
      <c r="C51" s="511"/>
      <c r="D51" s="511"/>
      <c r="E51" s="511"/>
      <c r="F51" s="511"/>
      <c r="G51" s="511"/>
      <c r="H51" s="511"/>
      <c r="I51" s="511"/>
      <c r="J51" s="511"/>
      <c r="K51" s="511"/>
      <c r="L51" s="511"/>
      <c r="M51" s="511"/>
      <c r="N51" s="511"/>
      <c r="O51" s="511"/>
      <c r="P51" s="511"/>
      <c r="Q51" s="511"/>
      <c r="R51" s="511"/>
      <c r="S51" s="511"/>
      <c r="T51" s="511"/>
      <c r="U51" s="511"/>
      <c r="V51" s="511"/>
      <c r="W51" s="511"/>
      <c r="X51" s="511"/>
      <c r="Y51" s="511"/>
      <c r="Z51" s="511"/>
      <c r="AA51" s="511"/>
      <c r="AB51" s="511"/>
      <c r="AC51" s="511"/>
      <c r="AD51" s="511"/>
      <c r="AE51" s="525"/>
      <c r="AF51" s="525"/>
      <c r="AG51" s="525"/>
      <c r="AH51" s="525"/>
      <c r="AI51" s="525"/>
      <c r="AJ51" s="525"/>
      <c r="AK51" s="525"/>
      <c r="AL51" s="525"/>
      <c r="AM51" s="525"/>
      <c r="AN51" s="525"/>
      <c r="AO51" s="525"/>
      <c r="AP51" s="525"/>
      <c r="AQ51" s="525"/>
      <c r="AR51" s="525"/>
      <c r="AS51" s="525"/>
      <c r="AT51" s="525"/>
      <c r="AU51" s="525"/>
      <c r="AV51" s="525"/>
      <c r="AW51" s="525"/>
      <c r="AX51" s="525"/>
      <c r="AY51" s="525"/>
      <c r="AZ51" s="525"/>
      <c r="BA51" s="525"/>
      <c r="BB51" s="525"/>
      <c r="BC51" s="525"/>
      <c r="BD51" s="510"/>
      <c r="BE51" s="510"/>
      <c r="BF51" s="176"/>
      <c r="BG51" s="176"/>
      <c r="BH51" s="176"/>
      <c r="BI51" s="176"/>
      <c r="BJ51" s="176"/>
      <c r="BK51" s="176"/>
      <c r="BL51" s="176"/>
      <c r="BM51" s="176"/>
      <c r="BN51" s="176"/>
      <c r="BO51" s="176"/>
      <c r="BP51" s="176"/>
      <c r="BQ51" s="176"/>
      <c r="BR51" s="176"/>
      <c r="BS51" s="176"/>
      <c r="BT51" s="176"/>
      <c r="BU51" s="176"/>
      <c r="BV51" s="176"/>
      <c r="BW51" s="176"/>
      <c r="BX51" s="176"/>
      <c r="BY51" s="176"/>
      <c r="BZ51" s="176"/>
    </row>
    <row r="52" spans="1:78">
      <c r="A52" s="2"/>
      <c r="B52" s="85"/>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85"/>
      <c r="AO52" s="85"/>
      <c r="AP52" s="85"/>
      <c r="AQ52" s="85"/>
      <c r="AR52" s="85"/>
      <c r="AS52" s="85"/>
      <c r="AT52" s="85"/>
      <c r="AU52" s="85"/>
      <c r="AV52" s="85"/>
      <c r="AW52" s="85"/>
      <c r="AX52" s="85"/>
      <c r="AY52" s="85"/>
      <c r="AZ52" s="85"/>
      <c r="BA52" s="85"/>
      <c r="BB52" s="85"/>
      <c r="BC52" s="85"/>
      <c r="BD52" s="2"/>
      <c r="BE52" s="2"/>
      <c r="BF52" s="2"/>
      <c r="BG52" s="2"/>
      <c r="BH52" s="2"/>
      <c r="BI52" s="2"/>
      <c r="BJ52" s="2"/>
      <c r="BK52" s="2"/>
      <c r="BL52" s="2"/>
      <c r="BM52" s="2"/>
      <c r="BN52" s="2"/>
      <c r="BO52" s="2"/>
      <c r="BP52" s="2"/>
      <c r="BQ52" s="2"/>
      <c r="BR52" s="2"/>
      <c r="BS52" s="2"/>
      <c r="BT52" s="2"/>
      <c r="BU52" s="2"/>
      <c r="BV52" s="2"/>
      <c r="BW52" s="2"/>
      <c r="BX52" s="2"/>
      <c r="BY52" s="2"/>
      <c r="BZ52" s="2"/>
    </row>
    <row r="53" spans="1:78">
      <c r="A53" s="2" t="s">
        <v>43</v>
      </c>
      <c r="B53" s="180"/>
      <c r="C53" s="180"/>
      <c r="D53" s="180"/>
      <c r="E53" s="180"/>
      <c r="F53" s="180">
        <f t="shared" ref="F53:AC53" si="191">F13/B13-1</f>
        <v>0.13992424108536716</v>
      </c>
      <c r="G53" s="180">
        <f t="shared" si="191"/>
        <v>0.17391052588912426</v>
      </c>
      <c r="H53" s="180">
        <f t="shared" si="191"/>
        <v>9.5406647290912305E-2</v>
      </c>
      <c r="I53" s="180">
        <f t="shared" si="191"/>
        <v>9.1780836545751532E-2</v>
      </c>
      <c r="J53" s="180">
        <f t="shared" si="191"/>
        <v>4.7224562146965576E-2</v>
      </c>
      <c r="K53" s="180">
        <f t="shared" si="191"/>
        <v>5.1851705700136197E-2</v>
      </c>
      <c r="L53" s="180">
        <f t="shared" si="191"/>
        <v>8.3944761481261843E-2</v>
      </c>
      <c r="M53" s="180">
        <f t="shared" si="191"/>
        <v>8.6603352829561331E-2</v>
      </c>
      <c r="N53" s="180">
        <f t="shared" si="191"/>
        <v>0.1331283711427711</v>
      </c>
      <c r="O53" s="180">
        <f t="shared" si="191"/>
        <v>7.1317364146236129E-2</v>
      </c>
      <c r="P53" s="180">
        <f t="shared" si="191"/>
        <v>5.8281103995259542E-2</v>
      </c>
      <c r="Q53" s="180">
        <f t="shared" si="191"/>
        <v>3.5833712133145568E-2</v>
      </c>
      <c r="R53" s="180">
        <f t="shared" si="191"/>
        <v>3.0890704480524001E-2</v>
      </c>
      <c r="S53" s="180">
        <f t="shared" si="191"/>
        <v>4.3357029047677464E-2</v>
      </c>
      <c r="T53" s="180">
        <f t="shared" si="191"/>
        <v>3.6559260200455634E-2</v>
      </c>
      <c r="U53" s="180">
        <f t="shared" si="191"/>
        <v>8.4469162086419969E-2</v>
      </c>
      <c r="V53" s="180">
        <f t="shared" si="191"/>
        <v>7.9236530930382854E-2</v>
      </c>
      <c r="W53" s="180">
        <f t="shared" si="191"/>
        <v>3.4225971966420188E-2</v>
      </c>
      <c r="X53" s="180">
        <f t="shared" si="191"/>
        <v>-3.0341686785036126E-2</v>
      </c>
      <c r="Y53" s="180">
        <f t="shared" si="191"/>
        <v>-0.1211958524976362</v>
      </c>
      <c r="Z53" s="180">
        <f t="shared" si="191"/>
        <v>-0.14046542579218291</v>
      </c>
      <c r="AA53" s="180">
        <f t="shared" si="191"/>
        <v>-0.11660953694501353</v>
      </c>
      <c r="AB53" s="180">
        <f t="shared" si="191"/>
        <v>-0.12929117189542205</v>
      </c>
      <c r="AC53" s="180">
        <f t="shared" si="191"/>
        <v>-0.1048708433251575</v>
      </c>
      <c r="AD53" s="109">
        <f t="shared" ref="AD53:AN53" si="192">AD13/Z13-1</f>
        <v>-9.8319071322199969E-2</v>
      </c>
      <c r="AE53" s="109">
        <f t="shared" si="192"/>
        <v>-7.4813219512419149E-2</v>
      </c>
      <c r="AF53" s="109">
        <f t="shared" si="192"/>
        <v>-4.3063990629275128E-3</v>
      </c>
      <c r="AG53" s="109">
        <f t="shared" si="192"/>
        <v>4.9296384388544556E-2</v>
      </c>
      <c r="AH53" s="109">
        <f t="shared" si="192"/>
        <v>4.7411006505313269E-2</v>
      </c>
      <c r="AI53" s="109">
        <f t="shared" si="192"/>
        <v>4.881946822714256E-2</v>
      </c>
      <c r="AJ53" s="109">
        <f t="shared" si="192"/>
        <v>8.4819905986327937E-2</v>
      </c>
      <c r="AK53" s="109">
        <f t="shared" si="192"/>
        <v>0.11729329877391725</v>
      </c>
      <c r="AL53" s="109">
        <f t="shared" si="192"/>
        <v>0.12307900028450325</v>
      </c>
      <c r="AM53" s="109">
        <f t="shared" si="192"/>
        <v>0.18593744824028802</v>
      </c>
      <c r="AN53" s="109">
        <f t="shared" si="192"/>
        <v>0.2082598612117319</v>
      </c>
      <c r="AO53" s="109">
        <f t="shared" ref="AO53:AS53" si="193">AO13/AK13-1</f>
        <v>0.11853840573099261</v>
      </c>
      <c r="AP53" s="109">
        <f t="shared" si="193"/>
        <v>0.15299502367938578</v>
      </c>
      <c r="AQ53" s="109">
        <f t="shared" si="193"/>
        <v>0.13032513447510818</v>
      </c>
      <c r="AR53" s="109">
        <f t="shared" si="193"/>
        <v>0.12628498593397652</v>
      </c>
      <c r="AS53" s="109">
        <f t="shared" si="193"/>
        <v>0.22344090448318843</v>
      </c>
      <c r="AT53" s="109">
        <f t="shared" ref="AT53:BC53" si="194">AT13/AP13-1</f>
        <v>0.22160902076444122</v>
      </c>
      <c r="AU53" s="109">
        <f t="shared" si="194"/>
        <v>0.21889121102575682</v>
      </c>
      <c r="AV53" s="109">
        <f t="shared" si="194"/>
        <v>0.19881071163105268</v>
      </c>
      <c r="AW53" s="109">
        <f t="shared" si="194"/>
        <v>0.14313197017171264</v>
      </c>
      <c r="AX53" s="109">
        <f t="shared" si="194"/>
        <v>0.1413033537979429</v>
      </c>
      <c r="AY53" s="109">
        <f t="shared" si="194"/>
        <v>7.2899892257608512E-2</v>
      </c>
      <c r="AZ53" s="109">
        <f t="shared" si="194"/>
        <v>5.8515154562009064E-2</v>
      </c>
      <c r="BA53" s="109">
        <f t="shared" si="194"/>
        <v>4.4158404843233745E-2</v>
      </c>
      <c r="BB53" s="109">
        <f t="shared" si="194"/>
        <v>2.8482905982905926E-2</v>
      </c>
      <c r="BC53" s="109">
        <f t="shared" si="194"/>
        <v>0.11957466566604946</v>
      </c>
      <c r="BD53" s="2"/>
      <c r="BE53" s="106"/>
      <c r="BF53" s="2"/>
      <c r="BG53" s="2"/>
      <c r="BH53" s="2"/>
      <c r="BI53" s="2"/>
      <c r="BJ53" s="2"/>
      <c r="BK53" s="2"/>
      <c r="BL53" s="2"/>
      <c r="BM53" s="2"/>
      <c r="BN53" s="2"/>
      <c r="BO53" s="2"/>
      <c r="BP53" s="2"/>
      <c r="BQ53" s="2"/>
      <c r="BR53" s="2"/>
      <c r="BS53" s="2"/>
      <c r="BT53" s="2"/>
      <c r="BU53" s="2"/>
      <c r="BV53" s="2"/>
      <c r="BW53" s="2"/>
      <c r="BX53" s="2"/>
      <c r="BY53" s="2"/>
      <c r="BZ53" s="2"/>
    </row>
    <row r="54" spans="1:78">
      <c r="A54" s="2" t="s">
        <v>44</v>
      </c>
      <c r="B54" s="180"/>
      <c r="C54" s="180">
        <f t="shared" ref="C54:AC54" si="195">C13/B13-1</f>
        <v>1.7372709117579488E-2</v>
      </c>
      <c r="D54" s="180">
        <f t="shared" si="195"/>
        <v>6.9885001563422922E-2</v>
      </c>
      <c r="E54" s="180">
        <f t="shared" si="195"/>
        <v>1.3676684689365448E-2</v>
      </c>
      <c r="F54" s="180">
        <f t="shared" si="195"/>
        <v>3.3140410264076881E-2</v>
      </c>
      <c r="G54" s="180">
        <f t="shared" si="195"/>
        <v>4.7705179818192223E-2</v>
      </c>
      <c r="H54" s="180">
        <f t="shared" si="195"/>
        <v>-1.6622930765739508E-3</v>
      </c>
      <c r="I54" s="180">
        <f t="shared" si="195"/>
        <v>1.0321401220385829E-2</v>
      </c>
      <c r="J54" s="180">
        <f t="shared" si="195"/>
        <v>-9.0227108233407183E-3</v>
      </c>
      <c r="K54" s="180">
        <f t="shared" si="195"/>
        <v>5.2334446972201798E-2</v>
      </c>
      <c r="L54" s="180">
        <f t="shared" si="195"/>
        <v>2.8797996661101832E-2</v>
      </c>
      <c r="M54" s="180">
        <f t="shared" si="195"/>
        <v>1.2799416550812515E-2</v>
      </c>
      <c r="N54" s="180">
        <f t="shared" si="195"/>
        <v>3.3407893137947564E-2</v>
      </c>
      <c r="O54" s="180">
        <f t="shared" si="195"/>
        <v>-5.0693331475158976E-3</v>
      </c>
      <c r="P54" s="180">
        <f t="shared" si="195"/>
        <v>1.6279130845866963E-2</v>
      </c>
      <c r="Q54" s="180">
        <f t="shared" si="195"/>
        <v>-8.6832550146228593E-3</v>
      </c>
      <c r="R54" s="180">
        <f t="shared" si="195"/>
        <v>2.8476461515065887E-2</v>
      </c>
      <c r="S54" s="180">
        <f t="shared" si="195"/>
        <v>6.9621349420596612E-3</v>
      </c>
      <c r="T54" s="180">
        <f t="shared" si="195"/>
        <v>9.6577822342116537E-3</v>
      </c>
      <c r="U54" s="180">
        <f t="shared" si="195"/>
        <v>3.7135532018333084E-2</v>
      </c>
      <c r="V54" s="180">
        <f t="shared" si="195"/>
        <v>2.3513998621772725E-2</v>
      </c>
      <c r="W54" s="109">
        <f t="shared" si="195"/>
        <v>-3.5034153406533153E-2</v>
      </c>
      <c r="X54" s="109">
        <f t="shared" si="195"/>
        <v>-5.3376062308581607E-2</v>
      </c>
      <c r="Y54" s="109">
        <f t="shared" si="195"/>
        <v>-6.0041052978912157E-2</v>
      </c>
      <c r="Z54" s="109">
        <f t="shared" si="195"/>
        <v>1.0713666991875037E-3</v>
      </c>
      <c r="AA54" s="109">
        <f t="shared" si="195"/>
        <v>-8.2520800980048215E-3</v>
      </c>
      <c r="AB54" s="109">
        <f t="shared" si="195"/>
        <v>-6.6965454219838461E-2</v>
      </c>
      <c r="AC54" s="109">
        <f t="shared" si="195"/>
        <v>-3.3678501471558042E-2</v>
      </c>
      <c r="AD54" s="109">
        <f t="shared" ref="AD54:AO54" si="196">AD13/AC13-1</f>
        <v>8.3985678124507412E-3</v>
      </c>
      <c r="AE54" s="109">
        <f t="shared" si="196"/>
        <v>1.7601721281667926E-2</v>
      </c>
      <c r="AF54" s="109">
        <f t="shared" si="196"/>
        <v>4.1394303071815575E-3</v>
      </c>
      <c r="AG54" s="109">
        <f t="shared" si="196"/>
        <v>1.8343046102287985E-2</v>
      </c>
      <c r="AH54" s="109">
        <f t="shared" si="196"/>
        <v>6.5866752094436709E-3</v>
      </c>
      <c r="AI54" s="109">
        <f t="shared" si="196"/>
        <v>1.8970098225953524E-2</v>
      </c>
      <c r="AJ54" s="109">
        <f t="shared" si="196"/>
        <v>3.860623813963171E-2</v>
      </c>
      <c r="AK54" s="109">
        <f t="shared" si="196"/>
        <v>4.8826496439165146E-2</v>
      </c>
      <c r="AL54" s="109">
        <f t="shared" si="196"/>
        <v>1.1799102468862177E-2</v>
      </c>
      <c r="AM54" s="109">
        <f t="shared" si="196"/>
        <v>7.6001597231465379E-2</v>
      </c>
      <c r="AN54" s="109">
        <f t="shared" si="196"/>
        <v>5.8155496320888789E-2</v>
      </c>
      <c r="AO54" s="109">
        <f t="shared" si="196"/>
        <v>-2.9055954868050904E-2</v>
      </c>
      <c r="AP54" s="109">
        <f t="shared" ref="AP54:BC54" si="197">AP13/AO13-1</f>
        <v>4.2967612137971845E-2</v>
      </c>
      <c r="AQ54" s="109">
        <f t="shared" si="197"/>
        <v>5.4845532814967068E-2</v>
      </c>
      <c r="AR54" s="109">
        <f t="shared" si="197"/>
        <v>5.4373305467690924E-2</v>
      </c>
      <c r="AS54" s="109">
        <f t="shared" si="197"/>
        <v>5.4699898883702858E-2</v>
      </c>
      <c r="AT54" s="109">
        <f t="shared" si="197"/>
        <v>4.1405954863921846E-2</v>
      </c>
      <c r="AU54" s="109">
        <f t="shared" si="197"/>
        <v>5.2498734933515312E-2</v>
      </c>
      <c r="AV54" s="109">
        <f t="shared" si="197"/>
        <v>3.7003139590115586E-2</v>
      </c>
      <c r="AW54" s="109">
        <f t="shared" si="197"/>
        <v>5.7143814726681175E-3</v>
      </c>
      <c r="AX54" s="109">
        <f t="shared" si="197"/>
        <v>3.9740064983754042E-2</v>
      </c>
      <c r="AY54" s="109">
        <f t="shared" si="197"/>
        <v>-1.0582264957264997E-2</v>
      </c>
      <c r="AZ54" s="109">
        <f t="shared" si="197"/>
        <v>2.3099681998067112E-2</v>
      </c>
      <c r="BA54" s="109">
        <f t="shared" si="197"/>
        <v>-7.9262259396561952E-3</v>
      </c>
      <c r="BB54" s="109">
        <f t="shared" si="197"/>
        <v>2.4130896750188091E-2</v>
      </c>
      <c r="BC54" s="109">
        <f t="shared" si="197"/>
        <v>7.7049529428874219E-2</v>
      </c>
      <c r="BD54" s="2"/>
      <c r="BE54" s="2"/>
      <c r="BF54" s="2"/>
      <c r="BG54" s="2"/>
      <c r="BH54" s="2"/>
      <c r="BI54" s="2"/>
      <c r="BJ54" s="2"/>
      <c r="BK54" s="2"/>
      <c r="BL54" s="2"/>
      <c r="BM54" s="2"/>
      <c r="BN54" s="2"/>
      <c r="BO54" s="2"/>
      <c r="BP54" s="2"/>
      <c r="BQ54" s="2"/>
      <c r="BR54" s="2"/>
      <c r="BS54" s="2"/>
      <c r="BT54" s="2"/>
      <c r="BU54" s="2"/>
      <c r="BV54" s="2"/>
      <c r="BW54" s="2"/>
      <c r="BX54" s="2"/>
      <c r="BY54" s="2"/>
      <c r="BZ54" s="2"/>
    </row>
    <row r="55" spans="1:78">
      <c r="A55" s="2"/>
      <c r="B55" s="180"/>
      <c r="C55" s="180"/>
      <c r="D55" s="180"/>
      <c r="E55" s="180"/>
      <c r="F55" s="180"/>
      <c r="G55" s="180"/>
      <c r="H55" s="180"/>
      <c r="I55" s="180"/>
      <c r="J55" s="180"/>
      <c r="K55" s="180"/>
      <c r="L55" s="180"/>
      <c r="M55" s="180"/>
      <c r="N55" s="180"/>
      <c r="O55" s="180"/>
      <c r="P55" s="180"/>
      <c r="Q55" s="180"/>
      <c r="R55" s="180"/>
      <c r="S55" s="180"/>
      <c r="T55" s="180"/>
      <c r="U55" s="180"/>
      <c r="V55" s="180"/>
      <c r="W55" s="109"/>
      <c r="X55" s="109"/>
      <c r="Y55" s="109"/>
      <c r="Z55" s="109"/>
      <c r="AA55" s="109"/>
      <c r="AB55" s="109"/>
      <c r="AC55" s="109"/>
      <c r="AD55" s="109"/>
      <c r="AE55" s="109"/>
      <c r="AF55" s="109"/>
      <c r="AG55" s="109"/>
      <c r="AH55" s="109"/>
      <c r="AI55" s="109"/>
      <c r="AJ55" s="109"/>
      <c r="AK55" s="109"/>
      <c r="AL55" s="109"/>
      <c r="AM55" s="109"/>
      <c r="AN55" s="109"/>
      <c r="AO55" s="109"/>
      <c r="AP55" s="109"/>
      <c r="AQ55" s="109"/>
      <c r="AR55" s="109"/>
      <c r="AS55" s="109"/>
      <c r="AT55" s="109"/>
      <c r="AU55" s="109"/>
      <c r="AV55" s="109"/>
      <c r="AW55" s="109"/>
      <c r="AX55" s="109"/>
      <c r="AY55" s="109"/>
      <c r="AZ55" s="109"/>
      <c r="BA55" s="109"/>
      <c r="BB55" s="109"/>
      <c r="BC55" s="109"/>
      <c r="BD55" s="2"/>
      <c r="BE55" s="2"/>
      <c r="BF55" s="2"/>
      <c r="BG55" s="2"/>
      <c r="BH55" s="2"/>
      <c r="BI55" s="2"/>
      <c r="BJ55" s="2" t="str">
        <f>AH50</f>
        <v>1Q20</v>
      </c>
      <c r="BK55" s="2" t="str">
        <f>AI50</f>
        <v>2Q20</v>
      </c>
      <c r="BL55" s="2" t="str">
        <f>AJ50</f>
        <v>3Q20</v>
      </c>
      <c r="BM55" s="2"/>
      <c r="BN55" s="2"/>
      <c r="BO55" s="2"/>
      <c r="BP55" s="2"/>
      <c r="BQ55" s="2"/>
      <c r="BR55" s="2"/>
      <c r="BS55" s="2"/>
      <c r="BT55" s="2"/>
      <c r="BU55" s="2"/>
      <c r="BV55" s="2"/>
      <c r="BW55" s="2"/>
      <c r="BX55" s="2"/>
      <c r="BY55" s="2"/>
      <c r="BZ55" s="2"/>
    </row>
    <row r="56" spans="1:78">
      <c r="A56" s="2" t="s">
        <v>45</v>
      </c>
      <c r="B56" s="180">
        <f t="shared" ref="B56:Y56" si="198">B25/B13</f>
        <v>0.33878255542006136</v>
      </c>
      <c r="C56" s="180">
        <f t="shared" si="198"/>
        <v>0.336720749516497</v>
      </c>
      <c r="D56" s="180">
        <f t="shared" si="198"/>
        <v>0.32248182846503975</v>
      </c>
      <c r="E56" s="180">
        <f t="shared" si="198"/>
        <v>0.33278695526818797</v>
      </c>
      <c r="F56" s="180">
        <f t="shared" si="198"/>
        <v>0.2834920749763567</v>
      </c>
      <c r="G56" s="180">
        <f t="shared" si="198"/>
        <v>0.29284474084012391</v>
      </c>
      <c r="H56" s="180">
        <f t="shared" si="198"/>
        <v>0.30553620395760767</v>
      </c>
      <c r="I56" s="180">
        <f t="shared" si="198"/>
        <v>0.30530017018446431</v>
      </c>
      <c r="J56" s="180">
        <f t="shared" si="198"/>
        <v>0.32298323619836261</v>
      </c>
      <c r="K56" s="180">
        <f t="shared" si="198"/>
        <v>0.32038885033107611</v>
      </c>
      <c r="L56" s="180">
        <f t="shared" si="198"/>
        <v>0.32365932037286049</v>
      </c>
      <c r="M56" s="180">
        <f t="shared" si="198"/>
        <v>0.32938031351122671</v>
      </c>
      <c r="N56" s="180">
        <f t="shared" si="198"/>
        <v>0.33825604487492161</v>
      </c>
      <c r="O56" s="180">
        <f t="shared" si="198"/>
        <v>0.33921348904802762</v>
      </c>
      <c r="P56" s="180">
        <f t="shared" si="198"/>
        <v>0.33714805035943335</v>
      </c>
      <c r="Q56" s="180">
        <f t="shared" si="198"/>
        <v>0.34978601377332669</v>
      </c>
      <c r="R56" s="109">
        <f t="shared" si="198"/>
        <v>0.34902348453164012</v>
      </c>
      <c r="S56" s="109">
        <f t="shared" si="198"/>
        <v>0.34676137054921818</v>
      </c>
      <c r="T56" s="109">
        <f t="shared" si="198"/>
        <v>0.352149722221068</v>
      </c>
      <c r="U56" s="109">
        <f t="shared" si="198"/>
        <v>0.36813089953364636</v>
      </c>
      <c r="V56" s="109">
        <f t="shared" si="198"/>
        <v>0.37544477717104102</v>
      </c>
      <c r="W56" s="109">
        <f t="shared" si="198"/>
        <v>0.38400097357158791</v>
      </c>
      <c r="X56" s="109">
        <f t="shared" si="198"/>
        <v>0.36726989119675002</v>
      </c>
      <c r="Y56" s="109">
        <f t="shared" si="198"/>
        <v>0.36439232992623527</v>
      </c>
      <c r="Z56" s="109">
        <f t="shared" ref="Z56:AA56" si="199">Z25/Z13</f>
        <v>0.35627399456237108</v>
      </c>
      <c r="AA56" s="109">
        <f t="shared" si="199"/>
        <v>0.36753165051040321</v>
      </c>
      <c r="AB56" s="109">
        <f t="shared" ref="AB56:AC56" si="200">AB25/AB13</f>
        <v>0.37340663234671678</v>
      </c>
      <c r="AC56" s="109">
        <f t="shared" si="200"/>
        <v>0.35825570557646569</v>
      </c>
      <c r="AD56" s="109">
        <f t="shared" ref="AD56" si="201">AD25/AD13</f>
        <v>0.34531698250434362</v>
      </c>
      <c r="AE56" s="109">
        <f t="shared" ref="AE56:AF56" si="202">AE25/AE13</f>
        <v>0.31483990728470246</v>
      </c>
      <c r="AF56" s="109">
        <f t="shared" si="202"/>
        <v>0.31174281180954078</v>
      </c>
      <c r="AG56" s="109">
        <f t="shared" ref="AG56:AH56" si="203">AG25/AG13</f>
        <v>0.33037248449194745</v>
      </c>
      <c r="AH56" s="109">
        <f t="shared" si="203"/>
        <v>0.40952073257176475</v>
      </c>
      <c r="AI56" s="109">
        <f t="shared" ref="AI56:AJ56" si="204">AI25/AI13</f>
        <v>0.42289400084235235</v>
      </c>
      <c r="AJ56" s="109">
        <f t="shared" si="204"/>
        <v>0.42602882228072914</v>
      </c>
      <c r="AK56" s="109">
        <f t="shared" ref="AK56:AL56" si="205">AK25/AK13</f>
        <v>0.42405522466516354</v>
      </c>
      <c r="AL56" s="109">
        <f t="shared" si="205"/>
        <v>0.43445365870612651</v>
      </c>
      <c r="AM56" s="109">
        <f t="shared" ref="AM56:AO56" si="206">AM25/AM13</f>
        <v>0.44928754795138992</v>
      </c>
      <c r="AN56" s="109">
        <f t="shared" ref="AN56" si="207">AN25/AN13</f>
        <v>0.45922807646017733</v>
      </c>
      <c r="AO56" s="109">
        <f t="shared" si="206"/>
        <v>0.48871532160653741</v>
      </c>
      <c r="AP56" s="109">
        <f t="shared" ref="AP56:AQ56" si="208">AP25/AP13</f>
        <v>0.49115947210057498</v>
      </c>
      <c r="AQ56" s="109">
        <f t="shared" si="208"/>
        <v>0.49486344893809309</v>
      </c>
      <c r="AR56" s="109">
        <f t="shared" ref="AR56:AS56" si="209">AR25/AR13</f>
        <v>0.49904240857680487</v>
      </c>
      <c r="AS56" s="109">
        <f t="shared" si="209"/>
        <v>0.50788087732497789</v>
      </c>
      <c r="AT56" s="109">
        <f t="shared" ref="AT56:AU56" si="210">AT25/AT13</f>
        <v>0.50616090174887329</v>
      </c>
      <c r="AU56" s="109">
        <f t="shared" si="210"/>
        <v>0.51325926526640175</v>
      </c>
      <c r="AV56" s="109">
        <f t="shared" ref="AV56:AW56" si="211">AV25/AV13</f>
        <v>0.51951013817704006</v>
      </c>
      <c r="AW56" s="109">
        <f t="shared" si="211"/>
        <v>0.52227776389236025</v>
      </c>
      <c r="AX56" s="109">
        <f t="shared" ref="AX56:AY56" si="212">AX25/AX13</f>
        <v>0.52740651709401709</v>
      </c>
      <c r="AY56" s="109">
        <f t="shared" si="212"/>
        <v>0.5308568930835873</v>
      </c>
      <c r="AZ56" s="109">
        <f t="shared" ref="AZ56:BA56" si="213">AZ25/AZ13</f>
        <v>0.52887937571177468</v>
      </c>
      <c r="BA56" s="109">
        <f t="shared" si="213"/>
        <v>0.52103631132475103</v>
      </c>
      <c r="BB56" s="109">
        <f t="shared" ref="BB56:BC56" si="214">BB25/BB13</f>
        <v>0.51794506887166814</v>
      </c>
      <c r="BC56" s="109">
        <f t="shared" si="214"/>
        <v>0.53096570564676548</v>
      </c>
      <c r="BD56" s="105"/>
      <c r="BE56" s="106"/>
      <c r="BF56" s="2"/>
      <c r="BG56" s="2"/>
      <c r="BH56" s="2"/>
      <c r="BI56" s="2"/>
      <c r="BJ56" s="105">
        <f>BK25/BK13</f>
        <v>0.33702695134080746</v>
      </c>
      <c r="BK56" s="105">
        <f>BN28</f>
        <v>0.35176831810772907</v>
      </c>
      <c r="BL56" s="105">
        <f>BP28</f>
        <v>0.35755395224023934</v>
      </c>
      <c r="BN56" s="2"/>
      <c r="BO56" s="2"/>
      <c r="BP56" s="2"/>
      <c r="BQ56" s="2"/>
      <c r="BR56" s="2"/>
      <c r="BS56" s="2"/>
      <c r="BT56" s="2"/>
      <c r="BU56" s="2"/>
      <c r="BV56" s="2"/>
      <c r="BW56" s="2"/>
      <c r="BX56" s="2"/>
      <c r="BY56" s="2"/>
      <c r="BZ56" s="2"/>
    </row>
    <row r="57" spans="1:78">
      <c r="A57" s="2"/>
      <c r="B57" s="180"/>
      <c r="C57" s="180"/>
      <c r="D57" s="180"/>
      <c r="E57" s="180"/>
      <c r="F57" s="109">
        <f>F56-B56</f>
        <v>-5.5290480443704659E-2</v>
      </c>
      <c r="G57" s="109">
        <f t="shared" ref="G57:BC57" si="215">G56-C56</f>
        <v>-4.3876008676373091E-2</v>
      </c>
      <c r="H57" s="109">
        <f t="shared" si="215"/>
        <v>-1.6945624507432089E-2</v>
      </c>
      <c r="I57" s="109">
        <f t="shared" si="215"/>
        <v>-2.7486785083723653E-2</v>
      </c>
      <c r="J57" s="109">
        <f t="shared" si="215"/>
        <v>3.9491161222005911E-2</v>
      </c>
      <c r="K57" s="109">
        <f t="shared" si="215"/>
        <v>2.7544109490952207E-2</v>
      </c>
      <c r="L57" s="109">
        <f t="shared" si="215"/>
        <v>1.8123116415252827E-2</v>
      </c>
      <c r="M57" s="109">
        <f t="shared" si="215"/>
        <v>2.4080143326762393E-2</v>
      </c>
      <c r="N57" s="109">
        <f t="shared" si="215"/>
        <v>1.5272808676559002E-2</v>
      </c>
      <c r="O57" s="109">
        <f t="shared" si="215"/>
        <v>1.8824638716951503E-2</v>
      </c>
      <c r="P57" s="109">
        <f t="shared" si="215"/>
        <v>1.3488729986572856E-2</v>
      </c>
      <c r="Q57" s="109">
        <f t="shared" si="215"/>
        <v>2.0405700262099979E-2</v>
      </c>
      <c r="R57" s="109">
        <f t="shared" si="215"/>
        <v>1.0767439656718503E-2</v>
      </c>
      <c r="S57" s="109">
        <f t="shared" si="215"/>
        <v>7.5478815011905676E-3</v>
      </c>
      <c r="T57" s="109">
        <f t="shared" si="215"/>
        <v>1.5001671861634647E-2</v>
      </c>
      <c r="U57" s="109">
        <f t="shared" si="215"/>
        <v>1.8344885760319674E-2</v>
      </c>
      <c r="V57" s="109">
        <f t="shared" si="215"/>
        <v>2.6421292639400906E-2</v>
      </c>
      <c r="W57" s="109">
        <f t="shared" si="215"/>
        <v>3.7239603022369727E-2</v>
      </c>
      <c r="X57" s="109">
        <f t="shared" si="215"/>
        <v>1.5120168975682025E-2</v>
      </c>
      <c r="Y57" s="109">
        <f t="shared" si="215"/>
        <v>-3.7385696074110908E-3</v>
      </c>
      <c r="Z57" s="109">
        <f t="shared" si="215"/>
        <v>-1.9170782608669945E-2</v>
      </c>
      <c r="AA57" s="109">
        <f t="shared" si="215"/>
        <v>-1.6469323061184704E-2</v>
      </c>
      <c r="AB57" s="109">
        <f t="shared" si="215"/>
        <v>6.1367411499667623E-3</v>
      </c>
      <c r="AC57" s="109">
        <f t="shared" si="215"/>
        <v>-6.1366243497695816E-3</v>
      </c>
      <c r="AD57" s="109">
        <f t="shared" si="215"/>
        <v>-1.095701205802746E-2</v>
      </c>
      <c r="AE57" s="109">
        <f t="shared" si="215"/>
        <v>-5.2691743225700749E-2</v>
      </c>
      <c r="AF57" s="109">
        <f t="shared" si="215"/>
        <v>-6.1663820537176006E-2</v>
      </c>
      <c r="AG57" s="109">
        <f t="shared" si="215"/>
        <v>-2.7883221084518239E-2</v>
      </c>
      <c r="AH57" s="109">
        <f t="shared" si="215"/>
        <v>6.4203750067421128E-2</v>
      </c>
      <c r="AI57" s="109">
        <f t="shared" si="215"/>
        <v>0.10805409355764989</v>
      </c>
      <c r="AJ57" s="109">
        <f t="shared" si="215"/>
        <v>0.11428601047118836</v>
      </c>
      <c r="AK57" s="109">
        <f t="shared" si="215"/>
        <v>9.3682740173216095E-2</v>
      </c>
      <c r="AL57" s="109">
        <f t="shared" si="215"/>
        <v>2.4932926134361766E-2</v>
      </c>
      <c r="AM57" s="109">
        <f t="shared" si="215"/>
        <v>2.6393547109037574E-2</v>
      </c>
      <c r="AN57" s="109">
        <f t="shared" si="215"/>
        <v>3.319925417944819E-2</v>
      </c>
      <c r="AO57" s="109">
        <f t="shared" si="215"/>
        <v>6.4660096941373868E-2</v>
      </c>
      <c r="AP57" s="109">
        <f t="shared" si="215"/>
        <v>5.6705813394448468E-2</v>
      </c>
      <c r="AQ57" s="109">
        <f t="shared" si="215"/>
        <v>4.5575900986703166E-2</v>
      </c>
      <c r="AR57" s="109">
        <f t="shared" si="215"/>
        <v>3.9814332116627549E-2</v>
      </c>
      <c r="AS57" s="109">
        <f t="shared" si="215"/>
        <v>1.9165555718440475E-2</v>
      </c>
      <c r="AT57" s="109">
        <f t="shared" si="215"/>
        <v>1.5001429648298314E-2</v>
      </c>
      <c r="AU57" s="109">
        <f t="shared" si="215"/>
        <v>1.8395816328308667E-2</v>
      </c>
      <c r="AV57" s="109">
        <f t="shared" si="215"/>
        <v>2.0467729600235185E-2</v>
      </c>
      <c r="AW57" s="109">
        <f t="shared" si="215"/>
        <v>1.4396886567382361E-2</v>
      </c>
      <c r="AX57" s="109">
        <f t="shared" si="215"/>
        <v>2.1245615345143798E-2</v>
      </c>
      <c r="AY57" s="109">
        <f t="shared" si="215"/>
        <v>1.7597627817185546E-2</v>
      </c>
      <c r="AZ57" s="109">
        <f t="shared" si="215"/>
        <v>9.3692375347346202E-3</v>
      </c>
      <c r="BA57" s="109">
        <f t="shared" si="215"/>
        <v>-1.2414525676092136E-3</v>
      </c>
      <c r="BB57" s="109">
        <f t="shared" si="215"/>
        <v>-9.461448222348956E-3</v>
      </c>
      <c r="BC57" s="109">
        <f t="shared" si="215"/>
        <v>1.0881256317818444E-4</v>
      </c>
      <c r="BD57" s="2"/>
      <c r="BE57" s="2"/>
      <c r="BF57" s="2"/>
      <c r="BG57" s="2"/>
      <c r="BH57" s="2"/>
      <c r="BI57" s="2"/>
      <c r="BJ57" s="2"/>
      <c r="BK57" s="105">
        <f>BK56-BJ56</f>
        <v>1.4741366766921615E-2</v>
      </c>
      <c r="BL57" s="105">
        <f>BL56-BK56</f>
        <v>5.7856341325102645E-3</v>
      </c>
      <c r="BM57" s="2"/>
      <c r="BN57" s="2"/>
      <c r="BO57" s="2"/>
      <c r="BP57" s="2"/>
      <c r="BQ57" s="2"/>
      <c r="BR57" s="2"/>
      <c r="BS57" s="2"/>
      <c r="BT57" s="2"/>
      <c r="BU57" s="2"/>
      <c r="BV57" s="2"/>
      <c r="BW57" s="2"/>
      <c r="BX57" s="2"/>
      <c r="BY57" s="2"/>
      <c r="BZ57" s="2"/>
    </row>
    <row r="58" spans="1:78">
      <c r="A58" s="2" t="s">
        <v>46</v>
      </c>
      <c r="B58" s="180"/>
      <c r="C58" s="180"/>
      <c r="D58" s="180"/>
      <c r="E58" s="180"/>
      <c r="F58" s="180">
        <f t="shared" ref="F58:AC58" si="216">F56-B56</f>
        <v>-5.5290480443704659E-2</v>
      </c>
      <c r="G58" s="180">
        <f t="shared" si="216"/>
        <v>-4.3876008676373091E-2</v>
      </c>
      <c r="H58" s="180">
        <f t="shared" si="216"/>
        <v>-1.6945624507432089E-2</v>
      </c>
      <c r="I58" s="180">
        <f t="shared" si="216"/>
        <v>-2.7486785083723653E-2</v>
      </c>
      <c r="J58" s="180">
        <f t="shared" si="216"/>
        <v>3.9491161222005911E-2</v>
      </c>
      <c r="K58" s="180">
        <f t="shared" si="216"/>
        <v>2.7544109490952207E-2</v>
      </c>
      <c r="L58" s="180">
        <f t="shared" si="216"/>
        <v>1.8123116415252827E-2</v>
      </c>
      <c r="M58" s="180">
        <f t="shared" si="216"/>
        <v>2.4080143326762393E-2</v>
      </c>
      <c r="N58" s="180">
        <f t="shared" si="216"/>
        <v>1.5272808676559002E-2</v>
      </c>
      <c r="O58" s="180">
        <f t="shared" si="216"/>
        <v>1.8824638716951503E-2</v>
      </c>
      <c r="P58" s="180">
        <f t="shared" si="216"/>
        <v>1.3488729986572856E-2</v>
      </c>
      <c r="Q58" s="180">
        <f t="shared" si="216"/>
        <v>2.0405700262099979E-2</v>
      </c>
      <c r="R58" s="109">
        <f t="shared" si="216"/>
        <v>1.0767439656718503E-2</v>
      </c>
      <c r="S58" s="109">
        <f t="shared" si="216"/>
        <v>7.5478815011905676E-3</v>
      </c>
      <c r="T58" s="109">
        <f t="shared" si="216"/>
        <v>1.5001671861634647E-2</v>
      </c>
      <c r="U58" s="109">
        <f t="shared" si="216"/>
        <v>1.8344885760319674E-2</v>
      </c>
      <c r="V58" s="109">
        <f t="shared" si="216"/>
        <v>2.6421292639400906E-2</v>
      </c>
      <c r="W58" s="109">
        <f t="shared" si="216"/>
        <v>3.7239603022369727E-2</v>
      </c>
      <c r="X58" s="109">
        <f t="shared" si="216"/>
        <v>1.5120168975682025E-2</v>
      </c>
      <c r="Y58" s="109">
        <f t="shared" si="216"/>
        <v>-3.7385696074110908E-3</v>
      </c>
      <c r="Z58" s="109">
        <f t="shared" si="216"/>
        <v>-1.9170782608669945E-2</v>
      </c>
      <c r="AA58" s="109">
        <f t="shared" si="216"/>
        <v>-1.6469323061184704E-2</v>
      </c>
      <c r="AB58" s="109">
        <f t="shared" si="216"/>
        <v>6.1367411499667623E-3</v>
      </c>
      <c r="AC58" s="109">
        <f t="shared" si="216"/>
        <v>-6.1366243497695816E-3</v>
      </c>
      <c r="AD58" s="109">
        <f t="shared" ref="AD58:AN58" si="217">AD56-Z56</f>
        <v>-1.095701205802746E-2</v>
      </c>
      <c r="AE58" s="109">
        <f t="shared" si="217"/>
        <v>-5.2691743225700749E-2</v>
      </c>
      <c r="AF58" s="109">
        <f t="shared" si="217"/>
        <v>-6.1663820537176006E-2</v>
      </c>
      <c r="AG58" s="109">
        <f t="shared" si="217"/>
        <v>-2.7883221084518239E-2</v>
      </c>
      <c r="AH58" s="109">
        <f t="shared" si="217"/>
        <v>6.4203750067421128E-2</v>
      </c>
      <c r="AI58" s="109">
        <f t="shared" si="217"/>
        <v>0.10805409355764989</v>
      </c>
      <c r="AJ58" s="109">
        <f t="shared" si="217"/>
        <v>0.11428601047118836</v>
      </c>
      <c r="AK58" s="109">
        <f t="shared" si="217"/>
        <v>9.3682740173216095E-2</v>
      </c>
      <c r="AL58" s="109">
        <f t="shared" si="217"/>
        <v>2.4932926134361766E-2</v>
      </c>
      <c r="AM58" s="109">
        <f t="shared" si="217"/>
        <v>2.6393547109037574E-2</v>
      </c>
      <c r="AN58" s="109">
        <f t="shared" si="217"/>
        <v>3.319925417944819E-2</v>
      </c>
      <c r="AO58" s="109">
        <f t="shared" ref="AO58:AS58" si="218">AO56-AK56</f>
        <v>6.4660096941373868E-2</v>
      </c>
      <c r="AP58" s="109">
        <f t="shared" si="218"/>
        <v>5.6705813394448468E-2</v>
      </c>
      <c r="AQ58" s="109">
        <f t="shared" si="218"/>
        <v>4.5575900986703166E-2</v>
      </c>
      <c r="AR58" s="109">
        <f t="shared" si="218"/>
        <v>3.9814332116627549E-2</v>
      </c>
      <c r="AS58" s="109">
        <f t="shared" si="218"/>
        <v>1.9165555718440475E-2</v>
      </c>
      <c r="AT58" s="109">
        <f t="shared" ref="AT58:BC58" si="219">AT56-AP56</f>
        <v>1.5001429648298314E-2</v>
      </c>
      <c r="AU58" s="109">
        <f t="shared" si="219"/>
        <v>1.8395816328308667E-2</v>
      </c>
      <c r="AV58" s="109">
        <f t="shared" si="219"/>
        <v>2.0467729600235185E-2</v>
      </c>
      <c r="AW58" s="109">
        <f t="shared" si="219"/>
        <v>1.4396886567382361E-2</v>
      </c>
      <c r="AX58" s="109">
        <f t="shared" si="219"/>
        <v>2.1245615345143798E-2</v>
      </c>
      <c r="AY58" s="109">
        <f t="shared" si="219"/>
        <v>1.7597627817185546E-2</v>
      </c>
      <c r="AZ58" s="109">
        <f t="shared" si="219"/>
        <v>9.3692375347346202E-3</v>
      </c>
      <c r="BA58" s="109">
        <f t="shared" si="219"/>
        <v>-1.2414525676092136E-3</v>
      </c>
      <c r="BB58" s="109">
        <f t="shared" si="219"/>
        <v>-9.461448222348956E-3</v>
      </c>
      <c r="BC58" s="109">
        <f t="shared" si="219"/>
        <v>1.0881256317818444E-4</v>
      </c>
      <c r="BD58" s="2"/>
      <c r="BE58" s="2"/>
      <c r="BF58" s="2"/>
      <c r="BG58" s="2"/>
      <c r="BH58" s="2"/>
      <c r="BI58" s="2"/>
      <c r="BJ58" s="105">
        <f>BJ56-AD56</f>
        <v>-8.2900311635361601E-3</v>
      </c>
      <c r="BK58" s="105">
        <f>BK56-AE56</f>
        <v>3.6928410823026614E-2</v>
      </c>
      <c r="BL58" s="105">
        <f>BL56-AF56</f>
        <v>4.581114043069856E-2</v>
      </c>
      <c r="BM58" s="2"/>
      <c r="BN58" s="2"/>
      <c r="BO58" s="2"/>
      <c r="BP58" s="2"/>
      <c r="BQ58" s="2"/>
      <c r="BR58" s="2"/>
      <c r="BS58" s="2"/>
      <c r="BT58" s="2"/>
      <c r="BU58" s="2"/>
      <c r="BV58" s="2"/>
      <c r="BW58" s="2"/>
      <c r="BX58" s="2"/>
      <c r="BY58" s="2"/>
      <c r="BZ58" s="2"/>
    </row>
    <row r="59" spans="1:78">
      <c r="A59" s="2" t="s">
        <v>47</v>
      </c>
      <c r="B59" s="180"/>
      <c r="C59" s="180">
        <f t="shared" ref="C59:X59" si="220">C56-B56</f>
        <v>-2.0618059035643621E-3</v>
      </c>
      <c r="D59" s="180">
        <f t="shared" si="220"/>
        <v>-1.4238921051457243E-2</v>
      </c>
      <c r="E59" s="180">
        <f t="shared" si="220"/>
        <v>1.0305126803148212E-2</v>
      </c>
      <c r="F59" s="180">
        <f t="shared" si="220"/>
        <v>-4.9294880291831267E-2</v>
      </c>
      <c r="G59" s="180">
        <f t="shared" si="220"/>
        <v>9.3526658637672067E-3</v>
      </c>
      <c r="H59" s="180">
        <f t="shared" si="220"/>
        <v>1.2691463117483759E-2</v>
      </c>
      <c r="I59" s="180">
        <f t="shared" si="220"/>
        <v>-2.360337731433515E-4</v>
      </c>
      <c r="J59" s="180">
        <f t="shared" si="220"/>
        <v>1.7683066013898296E-2</v>
      </c>
      <c r="K59" s="180">
        <f t="shared" si="220"/>
        <v>-2.5943858672864972E-3</v>
      </c>
      <c r="L59" s="180">
        <f t="shared" si="220"/>
        <v>3.2704700417843791E-3</v>
      </c>
      <c r="M59" s="180">
        <f t="shared" si="220"/>
        <v>5.7209931383662149E-3</v>
      </c>
      <c r="N59" s="180">
        <f t="shared" si="220"/>
        <v>8.8757313636949053E-3</v>
      </c>
      <c r="O59" s="180">
        <f t="shared" si="220"/>
        <v>9.5744417310600349E-4</v>
      </c>
      <c r="P59" s="180">
        <f t="shared" si="220"/>
        <v>-2.0654386885942677E-3</v>
      </c>
      <c r="Q59" s="180">
        <f t="shared" si="220"/>
        <v>1.2637963413893338E-2</v>
      </c>
      <c r="R59" s="109">
        <f t="shared" si="220"/>
        <v>-7.6252924168657144E-4</v>
      </c>
      <c r="S59" s="109">
        <f t="shared" si="220"/>
        <v>-2.2621139824219316E-3</v>
      </c>
      <c r="T59" s="109">
        <f t="shared" si="220"/>
        <v>5.3883516718498115E-3</v>
      </c>
      <c r="U59" s="109">
        <f t="shared" si="220"/>
        <v>1.5981177312578365E-2</v>
      </c>
      <c r="V59" s="109">
        <f t="shared" si="220"/>
        <v>7.3138776373946612E-3</v>
      </c>
      <c r="W59" s="109">
        <f t="shared" si="220"/>
        <v>8.5561964005468893E-3</v>
      </c>
      <c r="X59" s="109">
        <f t="shared" si="220"/>
        <v>-1.6731082374837891E-2</v>
      </c>
      <c r="Y59" s="109">
        <f t="shared" ref="Y59:AC59" si="221">Y56-X56</f>
        <v>-2.8775612705147502E-3</v>
      </c>
      <c r="Z59" s="109">
        <f t="shared" si="221"/>
        <v>-8.1183353638641931E-3</v>
      </c>
      <c r="AA59" s="109">
        <f t="shared" si="221"/>
        <v>1.125765594803213E-2</v>
      </c>
      <c r="AB59" s="109">
        <f t="shared" si="221"/>
        <v>5.8749818363135753E-3</v>
      </c>
      <c r="AC59" s="109">
        <f t="shared" si="221"/>
        <v>-1.5150926770251094E-2</v>
      </c>
      <c r="AD59" s="109">
        <f t="shared" ref="AD59:AO59" si="222">AD56-AC56</f>
        <v>-1.2938723072122071E-2</v>
      </c>
      <c r="AE59" s="109">
        <f t="shared" si="222"/>
        <v>-3.0477075219641159E-2</v>
      </c>
      <c r="AF59" s="109">
        <f t="shared" si="222"/>
        <v>-3.0970954751616819E-3</v>
      </c>
      <c r="AG59" s="109">
        <f t="shared" si="222"/>
        <v>1.8629672682406673E-2</v>
      </c>
      <c r="AH59" s="109">
        <f t="shared" si="222"/>
        <v>7.9148248079817296E-2</v>
      </c>
      <c r="AI59" s="109">
        <f t="shared" si="222"/>
        <v>1.3373268270587602E-2</v>
      </c>
      <c r="AJ59" s="109">
        <f t="shared" si="222"/>
        <v>3.1348214383767892E-3</v>
      </c>
      <c r="AK59" s="109">
        <f t="shared" si="222"/>
        <v>-1.9735976155655921E-3</v>
      </c>
      <c r="AL59" s="109">
        <f t="shared" si="222"/>
        <v>1.0398434040962967E-2</v>
      </c>
      <c r="AM59" s="109">
        <f t="shared" si="222"/>
        <v>1.483388924526341E-2</v>
      </c>
      <c r="AN59" s="109">
        <f t="shared" si="222"/>
        <v>9.9405285087874051E-3</v>
      </c>
      <c r="AO59" s="109">
        <f t="shared" si="222"/>
        <v>2.9487245146360086E-2</v>
      </c>
      <c r="AP59" s="109">
        <f t="shared" ref="AP59:BC59" si="223">AP56-AO56</f>
        <v>2.4441504940375669E-3</v>
      </c>
      <c r="AQ59" s="109">
        <f t="shared" si="223"/>
        <v>3.7039768375181081E-3</v>
      </c>
      <c r="AR59" s="109">
        <f t="shared" si="223"/>
        <v>4.1789596387117878E-3</v>
      </c>
      <c r="AS59" s="109">
        <f t="shared" si="223"/>
        <v>8.8384687481730118E-3</v>
      </c>
      <c r="AT59" s="109">
        <f t="shared" si="223"/>
        <v>-1.7199755761045932E-3</v>
      </c>
      <c r="AU59" s="109">
        <f t="shared" si="223"/>
        <v>7.098363517528461E-3</v>
      </c>
      <c r="AV59" s="109">
        <f t="shared" si="223"/>
        <v>6.2508729106383054E-3</v>
      </c>
      <c r="AW59" s="109">
        <f t="shared" si="223"/>
        <v>2.7676257153201878E-3</v>
      </c>
      <c r="AX59" s="109">
        <f t="shared" si="223"/>
        <v>5.1287532016568438E-3</v>
      </c>
      <c r="AY59" s="109">
        <f t="shared" si="223"/>
        <v>3.4503759895702091E-3</v>
      </c>
      <c r="AZ59" s="109">
        <f t="shared" si="223"/>
        <v>-1.9775173718126204E-3</v>
      </c>
      <c r="BA59" s="109">
        <f t="shared" si="223"/>
        <v>-7.8430643870236461E-3</v>
      </c>
      <c r="BB59" s="109">
        <f t="shared" si="223"/>
        <v>-3.0912424530828986E-3</v>
      </c>
      <c r="BC59" s="109">
        <f t="shared" si="223"/>
        <v>1.302063677509735E-2</v>
      </c>
      <c r="BD59" s="2"/>
      <c r="BE59" s="106"/>
      <c r="BF59" s="2"/>
      <c r="BG59" s="2"/>
      <c r="BH59" s="2"/>
      <c r="BI59" s="2"/>
      <c r="BJ59" s="2"/>
      <c r="BK59" s="2"/>
      <c r="BL59" s="2"/>
      <c r="BM59" s="2"/>
      <c r="BN59" s="2"/>
      <c r="BO59" s="2"/>
      <c r="BP59" s="2"/>
      <c r="BQ59" s="2"/>
      <c r="BR59" s="2"/>
      <c r="BS59" s="2"/>
      <c r="BT59" s="2"/>
      <c r="BU59" s="2"/>
      <c r="BV59" s="2"/>
      <c r="BW59" s="2"/>
      <c r="BX59" s="2"/>
      <c r="BY59" s="2"/>
      <c r="BZ59" s="2"/>
    </row>
    <row r="60" spans="1:78">
      <c r="A60" s="2"/>
      <c r="B60" s="180"/>
      <c r="C60" s="180"/>
      <c r="D60" s="180"/>
      <c r="E60" s="180"/>
      <c r="F60" s="180"/>
      <c r="G60" s="180"/>
      <c r="H60" s="180"/>
      <c r="I60" s="180"/>
      <c r="J60" s="180"/>
      <c r="K60" s="180"/>
      <c r="L60" s="180"/>
      <c r="M60" s="180"/>
      <c r="N60" s="180"/>
      <c r="O60" s="180"/>
      <c r="P60" s="180"/>
      <c r="Q60" s="180"/>
      <c r="R60" s="109"/>
      <c r="S60" s="109"/>
      <c r="T60" s="109"/>
      <c r="U60" s="109"/>
      <c r="V60" s="109"/>
      <c r="W60" s="109"/>
      <c r="X60" s="109"/>
      <c r="Y60" s="109"/>
      <c r="Z60" s="109"/>
      <c r="AA60" s="109"/>
      <c r="AB60" s="109"/>
      <c r="AC60" s="109"/>
      <c r="AD60" s="109"/>
      <c r="AE60" s="109"/>
      <c r="AF60" s="109"/>
      <c r="AG60" s="109"/>
      <c r="AH60" s="109"/>
      <c r="AI60" s="109"/>
      <c r="AJ60" s="109"/>
      <c r="AK60" s="109"/>
      <c r="AL60" s="109"/>
      <c r="AM60" s="109"/>
      <c r="AN60" s="109"/>
      <c r="AO60" s="109"/>
      <c r="AP60" s="109"/>
      <c r="AQ60" s="109"/>
      <c r="AR60" s="109"/>
      <c r="AS60" s="109"/>
      <c r="AT60" s="109"/>
      <c r="AU60" s="109"/>
      <c r="AV60" s="109"/>
      <c r="AW60" s="109"/>
      <c r="AX60" s="109"/>
      <c r="AY60" s="109"/>
      <c r="AZ60" s="109"/>
      <c r="BA60" s="109"/>
      <c r="BB60" s="109"/>
      <c r="BC60" s="109"/>
      <c r="BD60" s="2"/>
      <c r="BE60" s="2"/>
      <c r="BF60" s="2"/>
      <c r="BG60" s="2"/>
      <c r="BH60" s="2"/>
      <c r="BI60" s="2"/>
      <c r="BJ60" s="2"/>
      <c r="BK60" s="2"/>
      <c r="BL60" s="2"/>
      <c r="BM60" s="2"/>
      <c r="BN60" s="2"/>
      <c r="BO60" s="2"/>
      <c r="BP60" s="2"/>
      <c r="BQ60" s="2"/>
      <c r="BR60" s="2"/>
      <c r="BS60" s="2"/>
      <c r="BT60" s="2"/>
      <c r="BU60" s="2"/>
      <c r="BV60" s="2"/>
      <c r="BW60" s="2"/>
      <c r="BX60" s="2"/>
      <c r="BY60" s="2"/>
      <c r="BZ60" s="2"/>
    </row>
    <row r="61" spans="1:78">
      <c r="A61" s="2" t="s">
        <v>51</v>
      </c>
      <c r="B61" s="180"/>
      <c r="C61" s="180"/>
      <c r="D61" s="180"/>
      <c r="E61" s="180"/>
      <c r="F61" s="180">
        <f t="shared" ref="F61:Z61" si="224">F25/B25-1</f>
        <v>-4.6115323085483717E-2</v>
      </c>
      <c r="G61" s="180">
        <f t="shared" si="224"/>
        <v>2.094546955340415E-2</v>
      </c>
      <c r="H61" s="180">
        <f t="shared" si="224"/>
        <v>3.7845730397422228E-2</v>
      </c>
      <c r="I61" s="180">
        <f t="shared" si="224"/>
        <v>1.6043896099728894E-3</v>
      </c>
      <c r="J61" s="180">
        <f t="shared" si="224"/>
        <v>0.19310558553303192</v>
      </c>
      <c r="K61" s="180">
        <f t="shared" si="224"/>
        <v>0.15078576361400731</v>
      </c>
      <c r="L61" s="180">
        <f t="shared" si="224"/>
        <v>0.14823978395510928</v>
      </c>
      <c r="M61" s="180">
        <f t="shared" si="224"/>
        <v>0.17230774159445139</v>
      </c>
      <c r="N61" s="180">
        <f t="shared" si="224"/>
        <v>0.18671026295283344</v>
      </c>
      <c r="O61" s="180">
        <f t="shared" si="224"/>
        <v>0.13426325727082444</v>
      </c>
      <c r="P61" s="180">
        <f t="shared" si="224"/>
        <v>0.10238571388333373</v>
      </c>
      <c r="Q61" s="180">
        <f t="shared" si="224"/>
        <v>0.10000546552619349</v>
      </c>
      <c r="R61" s="109">
        <f t="shared" si="224"/>
        <v>6.3706240585046814E-2</v>
      </c>
      <c r="S61" s="109">
        <f t="shared" si="224"/>
        <v>6.6572895966139356E-2</v>
      </c>
      <c r="T61" s="109">
        <f t="shared" si="224"/>
        <v>8.2681792631202455E-2</v>
      </c>
      <c r="U61" s="109">
        <f t="shared" si="224"/>
        <v>0.14134525805850573</v>
      </c>
      <c r="V61" s="109">
        <f t="shared" si="224"/>
        <v>0.16093540070445544</v>
      </c>
      <c r="W61" s="109">
        <f t="shared" si="224"/>
        <v>0.14529418169939379</v>
      </c>
      <c r="X61" s="109">
        <f t="shared" si="224"/>
        <v>1.1292301883230271E-2</v>
      </c>
      <c r="Y61" s="109">
        <f t="shared" si="224"/>
        <v>-0.13012058682686867</v>
      </c>
      <c r="Z61" s="109">
        <f t="shared" si="224"/>
        <v>-0.184354571330268</v>
      </c>
      <c r="AA61" s="109">
        <f t="shared" ref="AA61:AG61" si="225">AA25/W25-1</f>
        <v>-0.15449705267161062</v>
      </c>
      <c r="AB61" s="109">
        <f t="shared" si="225"/>
        <v>-0.11474243042996324</v>
      </c>
      <c r="AC61" s="109">
        <f t="shared" si="225"/>
        <v>-0.11994545090581521</v>
      </c>
      <c r="AD61" s="109">
        <f t="shared" si="225"/>
        <v>-0.12604977566437858</v>
      </c>
      <c r="AE61" s="109">
        <f t="shared" si="225"/>
        <v>-0.20745405250071847</v>
      </c>
      <c r="AF61" s="109">
        <f t="shared" si="225"/>
        <v>-0.16873377179686577</v>
      </c>
      <c r="AG61" s="109">
        <f t="shared" si="225"/>
        <v>-3.2370879003710495E-2</v>
      </c>
      <c r="AH61" s="109">
        <f t="shared" ref="AH61:AN61" si="226">AH25/AD25-1</f>
        <v>0.24215299107795807</v>
      </c>
      <c r="AI61" s="109">
        <f t="shared" si="226"/>
        <v>0.40877776551637157</v>
      </c>
      <c r="AJ61" s="109">
        <f t="shared" si="226"/>
        <v>0.48251869626558075</v>
      </c>
      <c r="AK61" s="109">
        <f t="shared" si="226"/>
        <v>0.43412082745651159</v>
      </c>
      <c r="AL61" s="109">
        <f t="shared" si="226"/>
        <v>0.19145562576399433</v>
      </c>
      <c r="AM61" s="109">
        <f t="shared" si="226"/>
        <v>0.25995385860826214</v>
      </c>
      <c r="AN61" s="109">
        <f t="shared" si="226"/>
        <v>0.30241622845573168</v>
      </c>
      <c r="AO61" s="109">
        <f t="shared" ref="AO61:AS61" si="227">AO25/AK25-1</f>
        <v>0.28909355407122073</v>
      </c>
      <c r="AP61" s="109">
        <f t="shared" si="227"/>
        <v>0.30348638069133438</v>
      </c>
      <c r="AQ61" s="109">
        <f t="shared" si="227"/>
        <v>0.24498574914496563</v>
      </c>
      <c r="AR61" s="109">
        <f t="shared" si="227"/>
        <v>0.22393207413816429</v>
      </c>
      <c r="AS61" s="109">
        <f t="shared" si="227"/>
        <v>0.27141960248269514</v>
      </c>
      <c r="AT61" s="109">
        <f t="shared" ref="AT61:BC61" si="228">AT25/AP25-1</f>
        <v>0.25892049050836952</v>
      </c>
      <c r="AU61" s="109">
        <f t="shared" si="228"/>
        <v>0.26420168786605513</v>
      </c>
      <c r="AV61" s="109">
        <f t="shared" si="228"/>
        <v>0.24797874437902223</v>
      </c>
      <c r="AW61" s="109">
        <f t="shared" si="228"/>
        <v>0.17553630363036299</v>
      </c>
      <c r="AX61" s="109">
        <f t="shared" si="228"/>
        <v>0.18920846057946972</v>
      </c>
      <c r="AY61" s="109">
        <f t="shared" si="228"/>
        <v>0.10968538112598436</v>
      </c>
      <c r="AZ61" s="109">
        <f t="shared" si="228"/>
        <v>7.7605214963925917E-2</v>
      </c>
      <c r="BA61" s="109">
        <f t="shared" si="228"/>
        <v>4.1676443667971963E-2</v>
      </c>
      <c r="BB61" s="109">
        <f t="shared" si="228"/>
        <v>1.0032360820617647E-2</v>
      </c>
      <c r="BC61" s="109">
        <f t="shared" si="228"/>
        <v>0.11980415084487572</v>
      </c>
      <c r="BD61" s="2"/>
      <c r="BE61" s="106"/>
      <c r="BF61" s="2"/>
      <c r="BG61" s="2"/>
      <c r="BH61" s="2"/>
      <c r="BI61" s="2"/>
      <c r="BJ61" s="2"/>
      <c r="BK61" s="2"/>
      <c r="BL61" s="2"/>
      <c r="BM61" s="2"/>
      <c r="BN61" s="2"/>
      <c r="BO61" s="2"/>
      <c r="BP61" s="2"/>
      <c r="BQ61" s="2"/>
      <c r="BR61" s="2"/>
      <c r="BS61" s="2"/>
      <c r="BT61" s="2"/>
      <c r="BU61" s="2"/>
      <c r="BV61" s="2"/>
      <c r="BW61" s="2"/>
      <c r="BX61" s="2"/>
      <c r="BY61" s="2"/>
      <c r="BZ61" s="2"/>
    </row>
    <row r="62" spans="1:78">
      <c r="A62" s="2" t="s">
        <v>52</v>
      </c>
      <c r="B62" s="180"/>
      <c r="C62" s="180">
        <f t="shared" ref="C62:AC62" si="229">C25/B25-1</f>
        <v>1.1181053070877134E-2</v>
      </c>
      <c r="D62" s="180">
        <f t="shared" si="229"/>
        <v>2.464274045158299E-2</v>
      </c>
      <c r="E62" s="180">
        <f t="shared" si="229"/>
        <v>4.6069414607948334E-2</v>
      </c>
      <c r="F62" s="180">
        <f t="shared" si="229"/>
        <v>-0.11989603555327377</v>
      </c>
      <c r="G62" s="180">
        <f t="shared" si="229"/>
        <v>8.226994312381497E-2</v>
      </c>
      <c r="H62" s="180">
        <f t="shared" si="229"/>
        <v>4.1604204214320539E-2</v>
      </c>
      <c r="I62" s="180">
        <f t="shared" si="229"/>
        <v>9.5409046071248671E-3</v>
      </c>
      <c r="J62" s="180">
        <f t="shared" si="229"/>
        <v>4.837495394768454E-2</v>
      </c>
      <c r="K62" s="180">
        <f t="shared" si="229"/>
        <v>4.3881495515592395E-2</v>
      </c>
      <c r="L62" s="180">
        <f t="shared" si="229"/>
        <v>3.9299776057142077E-2</v>
      </c>
      <c r="M62" s="180">
        <f t="shared" si="229"/>
        <v>3.0701630848097405E-2</v>
      </c>
      <c r="N62" s="180">
        <f t="shared" si="229"/>
        <v>6.1254884814035515E-2</v>
      </c>
      <c r="O62" s="180">
        <f t="shared" si="229"/>
        <v>-2.2531511928826076E-3</v>
      </c>
      <c r="P62" s="180">
        <f t="shared" si="229"/>
        <v>1.0091103827392978E-2</v>
      </c>
      <c r="Q62" s="180">
        <f t="shared" si="229"/>
        <v>2.8476161275486689E-2</v>
      </c>
      <c r="R62" s="109">
        <f t="shared" si="229"/>
        <v>2.6234395379169051E-2</v>
      </c>
      <c r="S62" s="109">
        <f t="shared" si="229"/>
        <v>4.3574566977744311E-4</v>
      </c>
      <c r="T62" s="109">
        <f t="shared" si="229"/>
        <v>2.5346932355752472E-2</v>
      </c>
      <c r="U62" s="109">
        <f t="shared" si="229"/>
        <v>8.4202577051965877E-2</v>
      </c>
      <c r="V62" s="109">
        <f t="shared" si="229"/>
        <v>4.3848765835183601E-2</v>
      </c>
      <c r="W62" s="109">
        <f t="shared" si="229"/>
        <v>-1.3043070282443447E-2</v>
      </c>
      <c r="X62" s="109">
        <f t="shared" si="229"/>
        <v>-9.4620861591768635E-2</v>
      </c>
      <c r="Y62" s="109">
        <f t="shared" si="229"/>
        <v>-6.7405635610524484E-2</v>
      </c>
      <c r="Z62" s="109">
        <f t="shared" si="229"/>
        <v>-2.1231608447602857E-2</v>
      </c>
      <c r="AA62" s="109">
        <f t="shared" si="229"/>
        <v>2.3085477623959738E-2</v>
      </c>
      <c r="AB62" s="109">
        <f t="shared" si="229"/>
        <v>-5.2050926446518431E-2</v>
      </c>
      <c r="AC62" s="109">
        <f t="shared" si="229"/>
        <v>-7.2886873772587735E-2</v>
      </c>
      <c r="AD62" s="109">
        <f t="shared" ref="AD62:AO62" si="230">AD25/AC25-1</f>
        <v>-2.8020642299654508E-2</v>
      </c>
      <c r="AE62" s="109">
        <f t="shared" si="230"/>
        <v>-7.2210033640485616E-2</v>
      </c>
      <c r="AF62" s="109">
        <f t="shared" si="230"/>
        <v>-5.7383380890072555E-3</v>
      </c>
      <c r="AG62" s="109">
        <f t="shared" si="230"/>
        <v>7.919897255386954E-2</v>
      </c>
      <c r="AH62" s="109">
        <f t="shared" si="230"/>
        <v>0.24773742360131634</v>
      </c>
      <c r="AI62" s="109">
        <f t="shared" si="230"/>
        <v>5.2245484303982348E-2</v>
      </c>
      <c r="AJ62" s="109">
        <f t="shared" si="230"/>
        <v>4.6305200751697084E-2</v>
      </c>
      <c r="AK62" s="109">
        <f t="shared" si="230"/>
        <v>4.3967760681727475E-2</v>
      </c>
      <c r="AL62" s="109">
        <f t="shared" si="230"/>
        <v>3.6609847904284232E-2</v>
      </c>
      <c r="AM62" s="109">
        <f t="shared" si="230"/>
        <v>0.11274035682343997</v>
      </c>
      <c r="AN62" s="109">
        <f t="shared" si="230"/>
        <v>8.1567284441591337E-2</v>
      </c>
      <c r="AO62" s="109">
        <f t="shared" si="230"/>
        <v>3.3288807026504053E-2</v>
      </c>
      <c r="AP62" s="109">
        <f t="shared" ref="AP62:BC62" si="231">AP25/AO25-1</f>
        <v>4.8183674929071607E-2</v>
      </c>
      <c r="AQ62" s="109">
        <f t="shared" si="231"/>
        <v>6.2800430648854322E-2</v>
      </c>
      <c r="AR62" s="109">
        <f t="shared" si="231"/>
        <v>6.3277142469877479E-2</v>
      </c>
      <c r="AS62" s="109">
        <f t="shared" si="231"/>
        <v>7.3379537998081057E-2</v>
      </c>
      <c r="AT62" s="109">
        <f t="shared" si="231"/>
        <v>3.7879157760219107E-2</v>
      </c>
      <c r="AU62" s="109">
        <f t="shared" si="231"/>
        <v>6.7258900320615211E-2</v>
      </c>
      <c r="AV62" s="109">
        <f t="shared" si="231"/>
        <v>4.9632575183735428E-2</v>
      </c>
      <c r="AW62" s="109">
        <f t="shared" si="231"/>
        <v>1.1072199886372758E-2</v>
      </c>
      <c r="AX62" s="109">
        <f t="shared" si="231"/>
        <v>4.9950283675498586E-2</v>
      </c>
      <c r="AY62" s="109">
        <f t="shared" si="231"/>
        <v>-4.1093392614341973E-3</v>
      </c>
      <c r="AZ62" s="109">
        <f t="shared" si="231"/>
        <v>1.9288490280285897E-2</v>
      </c>
      <c r="BA62" s="109">
        <f t="shared" si="231"/>
        <v>-2.2638273419596344E-2</v>
      </c>
      <c r="BB62" s="109">
        <f t="shared" si="231"/>
        <v>1.8054857831712567E-2</v>
      </c>
      <c r="BC62" s="109">
        <f t="shared" si="231"/>
        <v>0.10412551017338378</v>
      </c>
      <c r="BD62" s="2"/>
      <c r="BE62" s="2"/>
      <c r="BF62" s="2"/>
      <c r="BG62" s="2"/>
      <c r="BH62" s="2"/>
      <c r="BI62" s="2"/>
      <c r="BJ62" s="2"/>
      <c r="BK62" s="2"/>
      <c r="BL62" s="2"/>
      <c r="BM62" s="2"/>
      <c r="BN62" s="2"/>
      <c r="BO62" s="2"/>
      <c r="BP62" s="2"/>
      <c r="BQ62" s="2"/>
      <c r="BR62" s="2"/>
      <c r="BS62" s="2"/>
      <c r="BT62" s="2"/>
      <c r="BU62" s="2"/>
      <c r="BV62" s="2"/>
      <c r="BW62" s="2"/>
      <c r="BX62" s="2"/>
      <c r="BY62" s="2"/>
      <c r="BZ62" s="2"/>
    </row>
    <row r="63" spans="1:78">
      <c r="A63" s="2"/>
      <c r="B63" s="180"/>
      <c r="C63" s="180"/>
      <c r="D63" s="180"/>
      <c r="E63" s="180"/>
      <c r="F63" s="180"/>
      <c r="G63" s="180"/>
      <c r="H63" s="180"/>
      <c r="I63" s="180"/>
      <c r="J63" s="180"/>
      <c r="K63" s="180"/>
      <c r="L63" s="180"/>
      <c r="M63" s="180"/>
      <c r="N63" s="180"/>
      <c r="O63" s="180"/>
      <c r="P63" s="180"/>
      <c r="Q63" s="180"/>
      <c r="R63" s="109"/>
      <c r="S63" s="109"/>
      <c r="T63" s="109"/>
      <c r="U63" s="109"/>
      <c r="V63" s="109"/>
      <c r="W63" s="109"/>
      <c r="X63" s="109"/>
      <c r="Y63" s="109"/>
      <c r="Z63" s="109"/>
      <c r="AA63" s="109"/>
      <c r="AB63" s="109"/>
      <c r="AC63" s="109"/>
      <c r="AD63" s="109"/>
      <c r="AE63" s="109"/>
      <c r="AF63" s="109"/>
      <c r="AG63" s="109"/>
      <c r="AH63" s="109"/>
      <c r="AI63" s="109"/>
      <c r="AJ63" s="109"/>
      <c r="AK63" s="109"/>
      <c r="AL63" s="109"/>
      <c r="AM63" s="109"/>
      <c r="AN63" s="109"/>
      <c r="AO63" s="109"/>
      <c r="AP63" s="109"/>
      <c r="AQ63" s="109"/>
      <c r="AR63" s="109"/>
      <c r="AS63" s="109"/>
      <c r="AT63" s="109"/>
      <c r="AU63" s="109"/>
      <c r="AV63" s="109"/>
      <c r="AW63" s="109"/>
      <c r="AX63" s="109"/>
      <c r="AY63" s="109"/>
      <c r="AZ63" s="109"/>
      <c r="BA63" s="109"/>
      <c r="BB63" s="109"/>
      <c r="BC63" s="109"/>
      <c r="BD63" s="2"/>
      <c r="BE63" s="2"/>
      <c r="BF63" s="2"/>
      <c r="BG63" s="2"/>
      <c r="BH63" s="2"/>
      <c r="BI63" s="2"/>
      <c r="BJ63" s="2"/>
      <c r="BK63" s="2"/>
      <c r="BL63" s="2"/>
      <c r="BM63" s="2"/>
      <c r="BN63" s="2"/>
      <c r="BO63" s="2"/>
      <c r="BP63" s="2"/>
      <c r="BQ63" s="2"/>
      <c r="BR63" s="2"/>
      <c r="BS63" s="2"/>
      <c r="BT63" s="2"/>
      <c r="BU63" s="2"/>
      <c r="BV63" s="2"/>
      <c r="BW63" s="2"/>
      <c r="BX63" s="2"/>
      <c r="BY63" s="2"/>
      <c r="BZ63" s="2"/>
    </row>
    <row r="64" spans="1:78">
      <c r="A64" s="2" t="s">
        <v>412</v>
      </c>
      <c r="B64" s="180"/>
      <c r="C64" s="180"/>
      <c r="D64" s="180"/>
      <c r="E64" s="180"/>
      <c r="F64" s="180"/>
      <c r="G64" s="180"/>
      <c r="H64" s="180"/>
      <c r="I64" s="180"/>
      <c r="J64" s="180">
        <f>J39/F39-1</f>
        <v>-0.32242879609718522</v>
      </c>
      <c r="K64" s="180">
        <f t="shared" ref="K64:AC64" si="232">K39/G39-1</f>
        <v>-0.43902701647754205</v>
      </c>
      <c r="L64" s="180">
        <f t="shared" si="232"/>
        <v>7.0392930679478383E-2</v>
      </c>
      <c r="M64" s="180">
        <f t="shared" si="232"/>
        <v>-2.2471580060511753E-2</v>
      </c>
      <c r="N64" s="180">
        <f t="shared" si="232"/>
        <v>0.88796540357990117</v>
      </c>
      <c r="O64" s="180">
        <f t="shared" si="232"/>
        <v>0.85239690348381458</v>
      </c>
      <c r="P64" s="180">
        <f t="shared" si="232"/>
        <v>0.80719753135895478</v>
      </c>
      <c r="Q64" s="180">
        <f t="shared" si="232"/>
        <v>0.93701544563976191</v>
      </c>
      <c r="R64" s="109">
        <f t="shared" si="232"/>
        <v>1.6057405223675048E-3</v>
      </c>
      <c r="S64" s="109">
        <f t="shared" si="232"/>
        <v>7.1074025381663963E-2</v>
      </c>
      <c r="T64" s="109">
        <f t="shared" si="232"/>
        <v>0.22146579443397263</v>
      </c>
      <c r="U64" s="109">
        <f t="shared" si="232"/>
        <v>-6.0285448340055892E-2</v>
      </c>
      <c r="V64" s="109">
        <f t="shared" si="232"/>
        <v>0.23373662984394183</v>
      </c>
      <c r="W64" s="109">
        <f t="shared" si="232"/>
        <v>0.3245240480961924</v>
      </c>
      <c r="X64" s="109">
        <f t="shared" si="232"/>
        <v>6.2724665044842309E-2</v>
      </c>
      <c r="Y64" s="109">
        <f t="shared" si="232"/>
        <v>-0.37131442533100012</v>
      </c>
      <c r="Z64" s="109">
        <f t="shared" si="232"/>
        <v>0.33714366929261752</v>
      </c>
      <c r="AA64" s="109">
        <f t="shared" si="232"/>
        <v>0.41537588652482271</v>
      </c>
      <c r="AB64" s="109">
        <f t="shared" si="232"/>
        <v>0.10454925944274551</v>
      </c>
      <c r="AC64" s="109">
        <f t="shared" si="232"/>
        <v>0.64970327188698063</v>
      </c>
      <c r="AD64" s="109">
        <f t="shared" ref="AD64:AN64" si="233">AD39/Z39-1</f>
        <v>0.24765780402994375</v>
      </c>
      <c r="AE64" s="109">
        <f t="shared" si="233"/>
        <v>2.681792672171901E-2</v>
      </c>
      <c r="AF64" s="109">
        <f t="shared" si="233"/>
        <v>1.580648653664718E-2</v>
      </c>
      <c r="AG64" s="109">
        <f t="shared" si="233"/>
        <v>-7.1469502101108029E-3</v>
      </c>
      <c r="AH64" s="109">
        <f t="shared" si="233"/>
        <v>-0.38578748159236675</v>
      </c>
      <c r="AI64" s="109">
        <f t="shared" si="233"/>
        <v>-0.50678638818400679</v>
      </c>
      <c r="AJ64" s="109">
        <f t="shared" si="233"/>
        <v>-0.21083817128333593</v>
      </c>
      <c r="AK64" s="109">
        <f t="shared" si="233"/>
        <v>0.7707094188376753</v>
      </c>
      <c r="AL64" s="109">
        <f t="shared" si="233"/>
        <v>-0.23219596731309544</v>
      </c>
      <c r="AM64" s="109">
        <f t="shared" si="233"/>
        <v>0.73698406582752929</v>
      </c>
      <c r="AN64" s="109">
        <f t="shared" si="233"/>
        <v>0.32425099701200932</v>
      </c>
      <c r="AO64" s="109">
        <f t="shared" ref="AO64:AS64" si="234">AO39/AK39-1</f>
        <v>-0.38011552947993621</v>
      </c>
      <c r="AP64" s="109">
        <f t="shared" si="234"/>
        <v>0.70087207070092084</v>
      </c>
      <c r="AQ64" s="109">
        <f t="shared" si="234"/>
        <v>5.9066749814015163E-2</v>
      </c>
      <c r="AR64" s="109">
        <f t="shared" si="234"/>
        <v>-0.11105742924177064</v>
      </c>
      <c r="AS64" s="109">
        <f t="shared" si="234"/>
        <v>-0.12406339005331191</v>
      </c>
      <c r="AT64" s="109">
        <f t="shared" ref="AT64:BC64" si="235">AT39/AP39-1</f>
        <v>-2.9229101728995399E-2</v>
      </c>
      <c r="AU64" s="109">
        <f t="shared" si="235"/>
        <v>1.0713978371245769E-2</v>
      </c>
      <c r="AV64" s="109">
        <f t="shared" si="235"/>
        <v>0.52643701688697031</v>
      </c>
      <c r="AW64" s="109">
        <f t="shared" si="235"/>
        <v>0.9069216788114256</v>
      </c>
      <c r="AX64" s="109">
        <f t="shared" si="235"/>
        <v>0.63887823763064167</v>
      </c>
      <c r="AY64" s="109">
        <f t="shared" si="235"/>
        <v>0.30639933004841136</v>
      </c>
      <c r="AZ64" s="109">
        <f t="shared" si="235"/>
        <v>-4.2495969115410315E-3</v>
      </c>
      <c r="BA64" s="109">
        <f t="shared" si="235"/>
        <v>-8.0419649268540505E-2</v>
      </c>
      <c r="BB64" s="109">
        <f t="shared" si="235"/>
        <v>-0.23640017286005921</v>
      </c>
      <c r="BC64" s="109">
        <f t="shared" si="235"/>
        <v>-0.16631637226932316</v>
      </c>
      <c r="BD64" s="2"/>
      <c r="BE64" s="2"/>
      <c r="BF64" s="2"/>
      <c r="BG64" s="2"/>
      <c r="BH64" s="2"/>
      <c r="BI64" s="2"/>
      <c r="BJ64" s="2"/>
      <c r="BK64" s="2"/>
      <c r="BL64" s="2"/>
      <c r="BM64" s="2"/>
      <c r="BN64" s="2"/>
      <c r="BO64" s="2"/>
      <c r="BP64" s="2"/>
      <c r="BQ64" s="2"/>
      <c r="BR64" s="2"/>
      <c r="BS64" s="2"/>
      <c r="BT64" s="2"/>
      <c r="BU64" s="2"/>
      <c r="BV64" s="2"/>
      <c r="BW64" s="2"/>
      <c r="BX64" s="2"/>
      <c r="BY64" s="2"/>
      <c r="BZ64" s="2"/>
    </row>
    <row r="65" spans="1:87">
      <c r="A65" s="2" t="s">
        <v>49</v>
      </c>
      <c r="B65" s="180">
        <f t="shared" ref="B65:Y65" si="236">B39/B13</f>
        <v>0</v>
      </c>
      <c r="C65" s="180">
        <f t="shared" si="236"/>
        <v>0</v>
      </c>
      <c r="D65" s="180">
        <f t="shared" si="236"/>
        <v>0</v>
      </c>
      <c r="E65" s="180">
        <f t="shared" si="236"/>
        <v>0</v>
      </c>
      <c r="F65" s="180">
        <f t="shared" si="236"/>
        <v>0.16101725572477663</v>
      </c>
      <c r="G65" s="180">
        <f t="shared" si="236"/>
        <v>0.17691829607560722</v>
      </c>
      <c r="H65" s="180">
        <f t="shared" si="236"/>
        <v>0.11518071098594333</v>
      </c>
      <c r="I65" s="180">
        <f t="shared" si="236"/>
        <v>0.16648246317560297</v>
      </c>
      <c r="J65" s="180">
        <f t="shared" si="236"/>
        <v>0.10418076480835377</v>
      </c>
      <c r="K65" s="180">
        <f t="shared" si="236"/>
        <v>9.4353970099979353E-2</v>
      </c>
      <c r="L65" s="180">
        <f t="shared" si="236"/>
        <v>0.11374068418533628</v>
      </c>
      <c r="M65" s="180">
        <f t="shared" si="236"/>
        <v>0.14977069484637229</v>
      </c>
      <c r="N65" s="180">
        <f t="shared" si="236"/>
        <v>0.17358110933036025</v>
      </c>
      <c r="O65" s="180">
        <f t="shared" si="236"/>
        <v>0.16314586871640432</v>
      </c>
      <c r="P65" s="180">
        <f t="shared" si="236"/>
        <v>0.19423183774028627</v>
      </c>
      <c r="Q65" s="180">
        <f t="shared" si="236"/>
        <v>0.28007212530685843</v>
      </c>
      <c r="R65" s="109">
        <f t="shared" si="236"/>
        <v>0.16865011469779348</v>
      </c>
      <c r="S65" s="109">
        <f t="shared" si="236"/>
        <v>0.16747987262803274</v>
      </c>
      <c r="T65" s="109">
        <f t="shared" si="236"/>
        <v>0.2288798673641958</v>
      </c>
      <c r="U65" s="109">
        <f t="shared" si="236"/>
        <v>0.24268818410551452</v>
      </c>
      <c r="V65" s="109">
        <f t="shared" si="236"/>
        <v>0.19279353336073435</v>
      </c>
      <c r="W65" s="109">
        <f t="shared" si="236"/>
        <v>0.21448999046711154</v>
      </c>
      <c r="X65" s="109">
        <f t="shared" si="236"/>
        <v>0.2508474140480037</v>
      </c>
      <c r="Y65" s="109">
        <f t="shared" si="236"/>
        <v>0.17361611335515578</v>
      </c>
      <c r="Z65" s="109">
        <f t="shared" ref="Z65:AA65" si="237">Z39/Z13</f>
        <v>0.29992121358405327</v>
      </c>
      <c r="AA65" s="109">
        <f t="shared" si="237"/>
        <v>0.34365772906152853</v>
      </c>
      <c r="AB65" s="109">
        <f t="shared" ref="AB65:AC65" si="238">AB39/AB13</f>
        <v>0.31821582195623715</v>
      </c>
      <c r="AC65" s="109">
        <f t="shared" si="238"/>
        <v>0.31997066358362664</v>
      </c>
      <c r="AD65" s="109">
        <f t="shared" ref="AD65" si="239">AD39/AD13</f>
        <v>0.41500161622691828</v>
      </c>
      <c r="AE65" s="109">
        <f t="shared" ref="AE65:AF65" si="240">AE39/AE13</f>
        <v>0.38140829970666629</v>
      </c>
      <c r="AF65" s="109">
        <f t="shared" si="240"/>
        <v>0.32464374156620251</v>
      </c>
      <c r="AG65" s="109">
        <f t="shared" ref="AG65:AH65" si="241">AG39/AG13</f>
        <v>0.3027589286581045</v>
      </c>
      <c r="AH65" s="109">
        <f t="shared" si="241"/>
        <v>0.24336118893427011</v>
      </c>
      <c r="AI65" s="109">
        <f t="shared" ref="AI65:AJ65" si="242">AI39/AI13</f>
        <v>0.17935952828268967</v>
      </c>
      <c r="AJ65" s="109">
        <f t="shared" si="242"/>
        <v>0.23616495914394967</v>
      </c>
      <c r="AK65" s="109">
        <f t="shared" ref="AK65:AL65" si="243">AK39/AK13</f>
        <v>0.47981858228310026</v>
      </c>
      <c r="AL65" s="109">
        <f t="shared" si="243"/>
        <v>0.16637627648266748</v>
      </c>
      <c r="AM65" s="109">
        <f t="shared" ref="AM65:AO65" si="244">AM39/AM13</f>
        <v>0.2626990514075162</v>
      </c>
      <c r="AN65" s="109">
        <f t="shared" ref="AN65" si="245">AN39/AN13</f>
        <v>0.25883644127020444</v>
      </c>
      <c r="AO65" s="109">
        <f t="shared" si="244"/>
        <v>0.26591137711527035</v>
      </c>
      <c r="AP65" s="109">
        <f t="shared" ref="AP65:AQ65" si="246">AP39/AP13</f>
        <v>0.2454345041260762</v>
      </c>
      <c r="AQ65" s="109">
        <f t="shared" si="246"/>
        <v>0.24613787844554902</v>
      </c>
      <c r="AR65" s="109">
        <f t="shared" ref="AR65:AS65" si="247">AR39/AR13</f>
        <v>0.20429175065122912</v>
      </c>
      <c r="AS65" s="109">
        <f t="shared" si="247"/>
        <v>0.19038231381923346</v>
      </c>
      <c r="AT65" s="109">
        <f t="shared" ref="AT65:AU65" si="248">AT39/AT13</f>
        <v>0.19503840425807775</v>
      </c>
      <c r="AU65" s="109">
        <f t="shared" si="248"/>
        <v>0.20409942421539209</v>
      </c>
      <c r="AV65" s="109">
        <f t="shared" ref="AV65:AW65" si="249">AV39/AV13</f>
        <v>0.2601232099556437</v>
      </c>
      <c r="AW65" s="109">
        <f t="shared" si="249"/>
        <v>0.31758726984920438</v>
      </c>
      <c r="AX65" s="109">
        <f t="shared" ref="AX65:AY65" si="250">AX39/AX13</f>
        <v>0.28006944444444443</v>
      </c>
      <c r="AY65" s="109">
        <f t="shared" si="250"/>
        <v>0.24851838739325202</v>
      </c>
      <c r="AZ65" s="109">
        <f t="shared" ref="AZ65:BA65" si="251">AZ39/AZ13</f>
        <v>0.24469918078137678</v>
      </c>
      <c r="BA65" s="109">
        <f t="shared" si="251"/>
        <v>0.2796960802509893</v>
      </c>
      <c r="BB65" s="109">
        <f t="shared" ref="BB65:BC65" si="252">BB39/BB13</f>
        <v>0.2079382925286184</v>
      </c>
      <c r="BC65" s="109">
        <f t="shared" si="252"/>
        <v>0.1850575197113152</v>
      </c>
      <c r="BD65" s="2"/>
      <c r="BE65" s="3"/>
      <c r="BF65" s="2"/>
      <c r="BG65" s="2"/>
      <c r="BH65" s="2"/>
      <c r="BI65" s="2"/>
      <c r="BJ65" s="2"/>
      <c r="BK65" s="2"/>
      <c r="BL65" s="2"/>
      <c r="BM65" s="2"/>
      <c r="BN65" s="2"/>
      <c r="BO65" s="2"/>
      <c r="BP65" s="2"/>
      <c r="BQ65" s="2"/>
      <c r="BR65" s="2"/>
      <c r="BS65" s="2"/>
      <c r="BT65" s="2"/>
      <c r="BU65" s="2"/>
      <c r="BV65" s="2"/>
      <c r="BW65" s="2"/>
      <c r="BX65" s="2"/>
      <c r="BY65" s="2"/>
      <c r="BZ65" s="2"/>
      <c r="CI65" s="12">
        <f>SUM(AX39:AY39)/SUM(AX13:AY13)</f>
        <v>0.26437783033247697</v>
      </c>
    </row>
    <row r="66" spans="1:87">
      <c r="A66" s="2"/>
      <c r="B66" s="85"/>
      <c r="C66" s="85"/>
      <c r="D66" s="85"/>
      <c r="E66" s="85"/>
      <c r="F66" s="85"/>
      <c r="G66" s="85"/>
      <c r="H66" s="85"/>
      <c r="I66" s="85"/>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85"/>
      <c r="AN66" s="85"/>
      <c r="AO66" s="85"/>
      <c r="AP66" s="85"/>
      <c r="AQ66" s="85"/>
      <c r="AR66" s="85"/>
      <c r="AS66" s="85"/>
      <c r="AT66" s="85"/>
      <c r="AU66" s="85"/>
      <c r="AV66" s="85"/>
      <c r="AW66" s="85"/>
      <c r="AX66" s="85"/>
      <c r="AY66" s="85"/>
      <c r="AZ66" s="85"/>
      <c r="BA66" s="85"/>
      <c r="BB66" s="85"/>
      <c r="BC66" s="85"/>
      <c r="BD66" s="2"/>
      <c r="BE66" s="2"/>
      <c r="BF66" s="2"/>
      <c r="BG66" s="2"/>
      <c r="BH66" s="2"/>
      <c r="BI66" s="2"/>
      <c r="BJ66" s="2"/>
      <c r="BK66" s="2"/>
      <c r="BL66" s="2"/>
      <c r="BM66" s="2"/>
      <c r="BN66" s="2"/>
      <c r="BO66" s="2"/>
      <c r="BP66" s="2"/>
      <c r="BQ66" s="2"/>
      <c r="BR66" s="2"/>
      <c r="BS66" s="2"/>
      <c r="BT66" s="2"/>
      <c r="BU66" s="2"/>
      <c r="BV66" s="2"/>
      <c r="BW66" s="2"/>
      <c r="BX66" s="2"/>
      <c r="BY66" s="2"/>
      <c r="BZ66" s="2"/>
    </row>
    <row r="67" spans="1:87">
      <c r="A67" s="2" t="s">
        <v>50</v>
      </c>
      <c r="B67" s="85"/>
      <c r="C67" s="85"/>
      <c r="D67" s="85"/>
      <c r="E67" s="85"/>
      <c r="F67" s="180">
        <f t="shared" ref="F67:AC67" si="253">F47/B47-1</f>
        <v>-0.58790081379981918</v>
      </c>
      <c r="G67" s="180">
        <f t="shared" si="253"/>
        <v>-0.59584529930697672</v>
      </c>
      <c r="H67" s="180">
        <f t="shared" si="253"/>
        <v>-0.35340024167561757</v>
      </c>
      <c r="I67" s="180">
        <f t="shared" si="253"/>
        <v>-0.54457796531309666</v>
      </c>
      <c r="J67" s="180">
        <f t="shared" si="253"/>
        <v>0.87087699902949511</v>
      </c>
      <c r="K67" s="180">
        <f t="shared" si="253"/>
        <v>1.0509140498680964</v>
      </c>
      <c r="L67" s="180">
        <f t="shared" si="253"/>
        <v>0.19534352531990562</v>
      </c>
      <c r="M67" s="180">
        <f t="shared" si="253"/>
        <v>0.40590431903050805</v>
      </c>
      <c r="N67" s="180">
        <f t="shared" si="253"/>
        <v>-0.14718585993919342</v>
      </c>
      <c r="O67" s="180">
        <f t="shared" si="253"/>
        <v>-0.16550800154238809</v>
      </c>
      <c r="P67" s="180">
        <f t="shared" si="253"/>
        <v>-0.27950404968188824</v>
      </c>
      <c r="Q67" s="180">
        <f t="shared" si="253"/>
        <v>-0.59795028565701114</v>
      </c>
      <c r="R67" s="180">
        <f t="shared" si="253"/>
        <v>0.12916534433513172</v>
      </c>
      <c r="S67" s="180">
        <f t="shared" si="253"/>
        <v>6.2402108246525589E-2</v>
      </c>
      <c r="T67" s="180">
        <f t="shared" si="253"/>
        <v>-0.10593411892348026</v>
      </c>
      <c r="U67" s="180">
        <f t="shared" si="253"/>
        <v>0.95138672483639763</v>
      </c>
      <c r="V67" s="180">
        <f t="shared" si="253"/>
        <v>9.2865842233464502E-2</v>
      </c>
      <c r="W67" s="180">
        <f t="shared" si="253"/>
        <v>-2.2137458170500501E-2</v>
      </c>
      <c r="X67" s="180">
        <f t="shared" si="253"/>
        <v>-8.42041394188634E-2</v>
      </c>
      <c r="Y67" s="180">
        <f t="shared" si="253"/>
        <v>0.33650590865538166</v>
      </c>
      <c r="Z67" s="180">
        <f t="shared" si="253"/>
        <v>-0.73481065557960612</v>
      </c>
      <c r="AA67" s="180">
        <f t="shared" si="253"/>
        <v>-0.87558331538516765</v>
      </c>
      <c r="AB67" s="180">
        <f t="shared" si="253"/>
        <v>-0.58723498233215543</v>
      </c>
      <c r="AC67" s="109">
        <f t="shared" si="253"/>
        <v>-0.82036514840128083</v>
      </c>
      <c r="AD67" s="109">
        <f t="shared" ref="AD67:AN67" si="254">AD47/Z47-1</f>
        <v>-2.1149991918538871</v>
      </c>
      <c r="AE67" s="109">
        <f t="shared" si="254"/>
        <v>-3.5797268705520291</v>
      </c>
      <c r="AF67" s="109">
        <f t="shared" si="254"/>
        <v>-1.232744783306581</v>
      </c>
      <c r="AG67" s="109">
        <f t="shared" si="254"/>
        <v>-0.24318212052680588</v>
      </c>
      <c r="AH67" s="109">
        <f t="shared" si="254"/>
        <v>-3.497499456403566</v>
      </c>
      <c r="AI67" s="109">
        <f t="shared" si="254"/>
        <v>-4.8370116313748888</v>
      </c>
      <c r="AJ67" s="109">
        <f t="shared" si="254"/>
        <v>-16.96536854654871</v>
      </c>
      <c r="AK67" s="109">
        <f t="shared" si="254"/>
        <v>-3.2562840569520128</v>
      </c>
      <c r="AL67" s="109">
        <f t="shared" si="254"/>
        <v>0.81194574705410294</v>
      </c>
      <c r="AM67" s="109">
        <f t="shared" si="254"/>
        <v>-9.1371816332809885E-2</v>
      </c>
      <c r="AN67" s="109">
        <f t="shared" si="254"/>
        <v>0.27525673038791854</v>
      </c>
      <c r="AO67" s="109">
        <f t="shared" ref="AO67:AS67" si="255">AO47/AK47-1</f>
        <v>-5.4691492676846369</v>
      </c>
      <c r="AP67" s="109">
        <f t="shared" si="255"/>
        <v>5.6857773373096832E-2</v>
      </c>
      <c r="AQ67" s="109">
        <f t="shared" si="255"/>
        <v>0.50674221145394371</v>
      </c>
      <c r="AR67" s="109">
        <f t="shared" si="255"/>
        <v>0.6566222452400472</v>
      </c>
      <c r="AS67" s="109">
        <f t="shared" si="255"/>
        <v>0.74341944705923368</v>
      </c>
      <c r="AT67" s="109">
        <f t="shared" ref="AT67:BC67" si="256">AT47/AP47-1</f>
        <v>0.5467294700673706</v>
      </c>
      <c r="AU67" s="109">
        <f t="shared" si="256"/>
        <v>0.51505216095380035</v>
      </c>
      <c r="AV67" s="109">
        <f t="shared" si="256"/>
        <v>5.4979249910278361E-2</v>
      </c>
      <c r="AW67" s="109">
        <f t="shared" si="256"/>
        <v>-0.26302580664513608</v>
      </c>
      <c r="AX67" s="109">
        <f t="shared" si="256"/>
        <v>-9.2683323095675174E-2</v>
      </c>
      <c r="AY67" s="109">
        <f t="shared" si="256"/>
        <v>-2.0180139485339255E-2</v>
      </c>
      <c r="AZ67" s="109">
        <f t="shared" si="256"/>
        <v>0.15969237549033455</v>
      </c>
      <c r="BA67" s="109">
        <f t="shared" si="256"/>
        <v>0.23111447788751094</v>
      </c>
      <c r="BB67" s="109">
        <f t="shared" si="256"/>
        <v>0.28907756040041988</v>
      </c>
      <c r="BC67" s="109">
        <f t="shared" si="256"/>
        <v>0.3716515240205438</v>
      </c>
      <c r="BD67" s="2"/>
      <c r="BE67" s="2"/>
      <c r="BF67" s="2"/>
      <c r="BG67" s="2"/>
      <c r="BH67" s="2"/>
      <c r="BI67" s="2"/>
      <c r="BJ67" s="2"/>
      <c r="BK67" s="2"/>
      <c r="BL67" s="2"/>
      <c r="BM67" s="2"/>
      <c r="BN67" s="2"/>
      <c r="BO67" s="2"/>
      <c r="BP67" s="2"/>
      <c r="BQ67" s="2"/>
      <c r="BR67" s="2"/>
      <c r="BS67" s="2"/>
      <c r="BT67" s="2"/>
      <c r="BU67" s="2"/>
      <c r="BV67" s="2"/>
      <c r="BW67" s="2"/>
      <c r="BX67" s="2"/>
      <c r="BY67" s="2"/>
      <c r="BZ67" s="2"/>
    </row>
    <row r="68" spans="1:87">
      <c r="A68" s="2"/>
      <c r="B68" s="2"/>
      <c r="C68" s="2"/>
      <c r="D68" s="2"/>
      <c r="E68" s="2"/>
      <c r="F68" s="175"/>
      <c r="G68" s="175"/>
      <c r="H68" s="175"/>
      <c r="I68" s="175"/>
      <c r="J68" s="175"/>
      <c r="K68" s="175"/>
      <c r="L68" s="175"/>
      <c r="M68" s="175"/>
      <c r="N68" s="175"/>
      <c r="O68" s="175"/>
      <c r="P68" s="175"/>
      <c r="Q68" s="175"/>
      <c r="R68" s="175"/>
      <c r="S68" s="175"/>
      <c r="T68" s="175"/>
      <c r="U68" s="175"/>
      <c r="V68" s="175"/>
      <c r="W68" s="175"/>
      <c r="X68" s="175"/>
      <c r="Y68" s="175"/>
      <c r="Z68" s="175"/>
      <c r="AA68" s="175"/>
      <c r="AB68" s="175"/>
      <c r="AC68" s="175"/>
      <c r="AD68" s="100"/>
      <c r="AE68" s="175"/>
      <c r="AF68" s="100"/>
      <c r="AG68" s="100"/>
      <c r="AH68" s="100"/>
      <c r="AI68" s="100"/>
      <c r="AJ68" s="100"/>
      <c r="AK68" s="100"/>
      <c r="AL68" s="100"/>
      <c r="AM68" s="100"/>
      <c r="AN68" s="100"/>
      <c r="AO68" s="100"/>
      <c r="AP68" s="100"/>
      <c r="AQ68" s="100"/>
      <c r="AR68" s="100"/>
      <c r="AS68" s="100"/>
      <c r="AT68" s="100"/>
      <c r="AU68" s="100"/>
      <c r="AV68" s="100"/>
      <c r="AW68" s="100"/>
      <c r="AX68" s="100"/>
      <c r="AY68" s="100"/>
      <c r="AZ68" s="100"/>
      <c r="BA68" s="100"/>
      <c r="BB68" s="100"/>
      <c r="BC68" s="100"/>
      <c r="BD68" s="2"/>
      <c r="BE68" s="2"/>
      <c r="BF68" s="2"/>
      <c r="BG68" s="2"/>
      <c r="BH68" s="2"/>
      <c r="BI68" s="2"/>
      <c r="BJ68" s="2"/>
      <c r="BK68" s="2"/>
      <c r="BL68" s="2"/>
      <c r="BM68" s="2"/>
      <c r="BN68" s="2"/>
      <c r="BO68" s="2"/>
      <c r="BP68" s="2"/>
      <c r="BQ68" s="2"/>
      <c r="BR68" s="2"/>
      <c r="BS68" s="2"/>
      <c r="BT68" s="2"/>
      <c r="BU68" s="2"/>
      <c r="BV68" s="2"/>
      <c r="BW68" s="2"/>
      <c r="BX68" s="2"/>
      <c r="BY68" s="2"/>
      <c r="BZ68" s="2"/>
    </row>
    <row r="69" spans="1:87">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row>
    <row r="70" spans="1:87">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row>
    <row r="71" spans="1:87">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row>
    <row r="72" spans="1:87">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row>
    <row r="73" spans="1:87">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row>
    <row r="74" spans="1:87">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row>
    <row r="75" spans="1:87">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row>
    <row r="76" spans="1:87">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row>
    <row r="77" spans="1:87">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row>
    <row r="78" spans="1:87">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row>
    <row r="79" spans="1:87">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row>
    <row r="80" spans="1:87">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row>
    <row r="81" spans="1:78">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row>
    <row r="82" spans="1:78">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row>
    <row r="83" spans="1:78">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row>
    <row r="84" spans="1:78">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row>
    <row r="85" spans="1:78">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row>
    <row r="86" spans="1:78">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row>
    <row r="87" spans="1:78">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row>
    <row r="88" spans="1:78">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row>
    <row r="89" spans="1:78">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row>
    <row r="90" spans="1:78">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row>
    <row r="91" spans="1:78">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row>
    <row r="92" spans="1:78">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row>
    <row r="93" spans="1:78">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row>
    <row r="94" spans="1:78">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row>
    <row r="95" spans="1:78">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row>
    <row r="96" spans="1:78">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row>
  </sheetData>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G61"/>
  <sheetViews>
    <sheetView showGridLines="0" zoomScale="70" zoomScaleNormal="70" workbookViewId="0">
      <pane xSplit="1" ySplit="1" topLeftCell="AW8" activePane="bottomRight" state="frozen"/>
      <selection activeCell="BA80" sqref="BA80"/>
      <selection pane="topRight" activeCell="BA80" sqref="BA80"/>
      <selection pane="bottomLeft" activeCell="BA80" sqref="BA80"/>
      <selection pane="bottomRight" activeCell="BC13" sqref="BC13"/>
    </sheetView>
  </sheetViews>
  <sheetFormatPr defaultColWidth="9.234375" defaultRowHeight="15.35"/>
  <cols>
    <col min="1" max="1" width="32" style="6" bestFit="1" customWidth="1"/>
    <col min="2" max="2" width="12.76171875" style="6" bestFit="1" customWidth="1"/>
    <col min="3" max="3" width="12.234375" style="6" bestFit="1" customWidth="1"/>
    <col min="4" max="9" width="12.76171875" style="6" bestFit="1" customWidth="1"/>
    <col min="10" max="10" width="11.52734375" style="6" bestFit="1" customWidth="1"/>
    <col min="11" max="15" width="12.76171875" style="6" bestFit="1" customWidth="1"/>
    <col min="16" max="16" width="12.234375" style="6" bestFit="1" customWidth="1"/>
    <col min="17" max="17" width="12.76171875" style="6" bestFit="1" customWidth="1"/>
    <col min="18" max="19" width="13.234375" style="6" bestFit="1" customWidth="1"/>
    <col min="20" max="21" width="13.76171875" style="6" bestFit="1" customWidth="1"/>
    <col min="22" max="23" width="13.234375" style="6" bestFit="1" customWidth="1"/>
    <col min="24" max="27" width="13.76171875" style="6" bestFit="1" customWidth="1"/>
    <col min="28" max="28" width="12.76171875" style="6" bestFit="1" customWidth="1"/>
    <col min="29" max="29" width="12.234375" style="6" bestFit="1" customWidth="1"/>
    <col min="30" max="30" width="13.234375" style="6" bestFit="1" customWidth="1"/>
    <col min="31" max="33" width="13.76171875" style="21" bestFit="1" customWidth="1"/>
    <col min="34" max="34" width="12.76171875" style="21" bestFit="1" customWidth="1"/>
    <col min="35" max="36" width="12.234375" style="21" bestFit="1" customWidth="1"/>
    <col min="37" max="38" width="12.76171875" style="21" bestFit="1" customWidth="1"/>
    <col min="39" max="39" width="13.234375" style="21" bestFit="1" customWidth="1"/>
    <col min="40" max="40" width="13.76171875" style="21" bestFit="1" customWidth="1"/>
    <col min="41" max="43" width="12.76171875" style="21" bestFit="1" customWidth="1"/>
    <col min="44" max="45" width="13.76171875" style="21" bestFit="1" customWidth="1"/>
    <col min="46" max="55" width="13.76171875" style="21" customWidth="1"/>
    <col min="56" max="56" width="7.234375" style="6" customWidth="1"/>
    <col min="57" max="57" width="75.234375" style="6" bestFit="1" customWidth="1"/>
    <col min="58" max="58" width="13.76171875" style="6" bestFit="1" customWidth="1"/>
    <col min="59" max="16384" width="9.234375" style="6"/>
  </cols>
  <sheetData>
    <row r="1" spans="1:59" s="30" customFormat="1">
      <c r="A1" s="508" t="s">
        <v>27</v>
      </c>
      <c r="B1" s="509" t="s">
        <v>0</v>
      </c>
      <c r="C1" s="509" t="s">
        <v>1</v>
      </c>
      <c r="D1" s="509" t="s">
        <v>2</v>
      </c>
      <c r="E1" s="512" t="str">
        <f>'Reported Group Profit and Loss'!E1</f>
        <v>4Q12</v>
      </c>
      <c r="F1" s="512" t="str">
        <f>'Reported Group Profit and Loss'!F1</f>
        <v>1Q13</v>
      </c>
      <c r="G1" s="512" t="str">
        <f>'Reported Group Profit and Loss'!G1</f>
        <v>2Q13</v>
      </c>
      <c r="H1" s="512" t="str">
        <f>'Reported Group Profit and Loss'!H1</f>
        <v>3Q13</v>
      </c>
      <c r="I1" s="512" t="str">
        <f>'Reported Group Profit and Loss'!I1</f>
        <v>4Q13</v>
      </c>
      <c r="J1" s="512" t="str">
        <f>'Reported Group Profit and Loss'!J1</f>
        <v>1Q14</v>
      </c>
      <c r="K1" s="512" t="str">
        <f>'Reported Group Profit and Loss'!K1</f>
        <v>2Q14</v>
      </c>
      <c r="L1" s="512" t="str">
        <f>'Reported Group Profit and Loss'!L1</f>
        <v>3Q14</v>
      </c>
      <c r="M1" s="512" t="str">
        <f>'Reported Group Profit and Loss'!M1</f>
        <v>4Q14</v>
      </c>
      <c r="N1" s="512" t="str">
        <f>'Reported Group Profit and Loss'!N1</f>
        <v>1Q15</v>
      </c>
      <c r="O1" s="512" t="str">
        <f>'Reported Group Profit and Loss'!O1</f>
        <v>2Q15</v>
      </c>
      <c r="P1" s="512" t="str">
        <f>'Reported Group Profit and Loss'!P1</f>
        <v>3Q15</v>
      </c>
      <c r="Q1" s="512" t="str">
        <f>'Reported Group Profit and Loss'!Q1</f>
        <v>4Q15</v>
      </c>
      <c r="R1" s="512" t="str">
        <f>'Reported Group Profit and Loss'!R1</f>
        <v>1Q16</v>
      </c>
      <c r="S1" s="512" t="str">
        <f>'Reported Group Profit and Loss'!S1</f>
        <v>2Q16</v>
      </c>
      <c r="T1" s="512" t="str">
        <f>'Reported Group Profit and Loss'!T1</f>
        <v>3Q16</v>
      </c>
      <c r="U1" s="512" t="str">
        <f>'Reported Group Profit and Loss'!U1</f>
        <v>4Q16</v>
      </c>
      <c r="V1" s="512" t="str">
        <f>'Reported Group Profit and Loss'!V1</f>
        <v>1Q17</v>
      </c>
      <c r="W1" s="512" t="str">
        <f>'Reported Group Profit and Loss'!W1</f>
        <v>2Q17</v>
      </c>
      <c r="X1" s="512" t="str">
        <f>'Reported Group Profit and Loss'!X1</f>
        <v>3Q17</v>
      </c>
      <c r="Y1" s="512" t="str">
        <f>'Reported Group Profit and Loss'!Y1</f>
        <v>4Q17</v>
      </c>
      <c r="Z1" s="512" t="str">
        <f>'Reported Group Profit and Loss'!Z1</f>
        <v>1Q18</v>
      </c>
      <c r="AA1" s="512" t="str">
        <f>'Reported Group Profit and Loss'!AA1</f>
        <v>2Q18</v>
      </c>
      <c r="AB1" s="512" t="str">
        <f>'Reported Group Profit and Loss'!AB1</f>
        <v>3Q18</v>
      </c>
      <c r="AC1" s="512" t="str">
        <f>'Reported Group Profit and Loss'!AC1</f>
        <v>4Q18</v>
      </c>
      <c r="AD1" s="512" t="str">
        <f>'Reported Group Profit and Loss'!AD1</f>
        <v>1Q19</v>
      </c>
      <c r="AE1" s="512" t="str">
        <f>'Reported Group Profit and Loss'!AE1</f>
        <v>2Q19</v>
      </c>
      <c r="AF1" s="512" t="str">
        <f>'Reported Group Profit and Loss'!AF1</f>
        <v>3Q19</v>
      </c>
      <c r="AG1" s="512" t="str">
        <f>'Reported Group Profit and Loss'!AG1</f>
        <v>4Q19</v>
      </c>
      <c r="AH1" s="512" t="str">
        <f>'Reported Group Profit and Loss'!AH1</f>
        <v>1Q20</v>
      </c>
      <c r="AI1" s="512" t="str">
        <f>'Reported Group Profit and Loss'!AI1</f>
        <v>2Q20</v>
      </c>
      <c r="AJ1" s="512" t="str">
        <f>'Reported Group Profit and Loss'!AJ1</f>
        <v>3Q20</v>
      </c>
      <c r="AK1" s="512" t="str">
        <f>'Reported Group Profit and Loss'!AK1</f>
        <v>4Q20</v>
      </c>
      <c r="AL1" s="512" t="str">
        <f>'Reported Group Profit and Loss'!AL1</f>
        <v>1Q21</v>
      </c>
      <c r="AM1" s="512" t="str">
        <f>'Reported Group Profit and Loss'!AM1</f>
        <v>2Q21</v>
      </c>
      <c r="AN1" s="512" t="str">
        <f>'Reported Group Profit and Loss'!AN1</f>
        <v>3Q21</v>
      </c>
      <c r="AO1" s="512" t="str">
        <f>'Reported Group Profit and Loss'!AO1</f>
        <v>4Q21</v>
      </c>
      <c r="AP1" s="512" t="str">
        <f>'Reported Group Profit and Loss'!AP1</f>
        <v>1Q22</v>
      </c>
      <c r="AQ1" s="512" t="str">
        <f>'Reported Group Profit and Loss'!AQ1</f>
        <v>2Q22</v>
      </c>
      <c r="AR1" s="512" t="str">
        <f>'Reported Group Profit and Loss'!AR1</f>
        <v>3Q22</v>
      </c>
      <c r="AS1" s="512" t="str">
        <f>'Reported Group Profit and Loss'!AS1</f>
        <v>4Q22</v>
      </c>
      <c r="AT1" s="512" t="str">
        <f>'Reported Group Profit and Loss'!AT1</f>
        <v>1Q23</v>
      </c>
      <c r="AU1" s="512" t="str">
        <f>'Reported Group Profit and Loss'!AU1</f>
        <v>2Q23</v>
      </c>
      <c r="AV1" s="512" t="str">
        <f>'Reported Group Profit and Loss'!AV1</f>
        <v>3Q23</v>
      </c>
      <c r="AW1" s="512" t="str">
        <f>'Reported Group Profit and Loss'!AW1</f>
        <v>4Q23</v>
      </c>
      <c r="AX1" s="512" t="str">
        <f>'Reported Group Profit and Loss'!AX1</f>
        <v>1Q24</v>
      </c>
      <c r="AY1" s="512" t="str">
        <f>'Reported Group Profit and Loss'!AY1</f>
        <v>2Q24</v>
      </c>
      <c r="AZ1" s="512" t="str">
        <f>'Reported Group Profit and Loss'!AZ1</f>
        <v>3Q24</v>
      </c>
      <c r="BA1" s="512" t="str">
        <f>'Reported Group Profit and Loss'!BA1</f>
        <v>4Q24</v>
      </c>
      <c r="BB1" s="512" t="str">
        <f>'Reported Group Profit and Loss'!BB1</f>
        <v>1Q25</v>
      </c>
      <c r="BC1" s="512" t="str">
        <f>'Reported Group Profit and Loss'!BC1</f>
        <v>2Q25</v>
      </c>
      <c r="BD1" s="508"/>
      <c r="BE1" s="508" t="s">
        <v>209</v>
      </c>
      <c r="BF1" s="13"/>
      <c r="BG1" s="13"/>
    </row>
    <row r="2" spans="1:59" s="30" customFormat="1">
      <c r="A2" s="508" t="s">
        <v>195</v>
      </c>
      <c r="B2" s="509"/>
      <c r="C2" s="509"/>
      <c r="D2" s="509"/>
      <c r="E2" s="509"/>
      <c r="F2" s="509"/>
      <c r="G2" s="509"/>
      <c r="H2" s="509"/>
      <c r="I2" s="509"/>
      <c r="J2" s="509"/>
      <c r="K2" s="509"/>
      <c r="L2" s="509"/>
      <c r="M2" s="509"/>
      <c r="N2" s="509"/>
      <c r="O2" s="509"/>
      <c r="P2" s="509"/>
      <c r="Q2" s="509"/>
      <c r="R2" s="509"/>
      <c r="S2" s="509"/>
      <c r="T2" s="509"/>
      <c r="U2" s="509"/>
      <c r="V2" s="509"/>
      <c r="W2" s="509"/>
      <c r="X2" s="509"/>
      <c r="Y2" s="509"/>
      <c r="Z2" s="509"/>
      <c r="AA2" s="509"/>
      <c r="AB2" s="509"/>
      <c r="AC2" s="509"/>
      <c r="AD2" s="509"/>
      <c r="AE2" s="512"/>
      <c r="AF2" s="512"/>
      <c r="AG2" s="512"/>
      <c r="AH2" s="512"/>
      <c r="AI2" s="512"/>
      <c r="AJ2" s="512"/>
      <c r="AK2" s="512"/>
      <c r="AL2" s="512"/>
      <c r="AM2" s="512"/>
      <c r="AN2" s="512"/>
      <c r="AO2" s="512"/>
      <c r="AP2" s="512"/>
      <c r="AQ2" s="512"/>
      <c r="AR2" s="512"/>
      <c r="AS2" s="512"/>
      <c r="AT2" s="512"/>
      <c r="AU2" s="512"/>
      <c r="AV2" s="512"/>
      <c r="AW2" s="512"/>
      <c r="AX2" s="512"/>
      <c r="AY2" s="512"/>
      <c r="AZ2" s="512"/>
      <c r="BA2" s="512"/>
      <c r="BB2" s="512"/>
      <c r="BC2" s="512"/>
      <c r="BD2" s="508"/>
      <c r="BE2" s="508"/>
      <c r="BF2" s="13"/>
      <c r="BG2" s="13"/>
    </row>
    <row r="3" spans="1:59">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2"/>
      <c r="BE3" s="2"/>
      <c r="BF3" s="2"/>
      <c r="BG3" s="2"/>
    </row>
    <row r="4" spans="1:59">
      <c r="A4" s="2"/>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2"/>
      <c r="BE4" s="2"/>
      <c r="BF4" s="2"/>
      <c r="BG4" s="2"/>
    </row>
    <row r="5" spans="1:59">
      <c r="A5" s="13" t="s">
        <v>202</v>
      </c>
      <c r="B5" s="189">
        <f>'Revenue, EBITDA, capex breakout'!B5+'Revenue, EBITDA, capex breakout'!B6+'Revenue, EBITDA, capex breakout'!B7+'Revenue, EBITDA, capex breakout'!B4</f>
        <v>121205</v>
      </c>
      <c r="C5" s="189">
        <f>'Revenue, EBITDA, capex breakout'!C5+'Revenue, EBITDA, capex breakout'!C6+'Revenue, EBITDA, capex breakout'!C7+'Revenue, EBITDA, capex breakout'!C4</f>
        <v>121532</v>
      </c>
      <c r="D5" s="189">
        <f>'Revenue, EBITDA, capex breakout'!D5+'Revenue, EBITDA, capex breakout'!D6+'Revenue, EBITDA, capex breakout'!D7+'Revenue, EBITDA, capex breakout'!D4</f>
        <v>126100</v>
      </c>
      <c r="E5" s="189">
        <f>'Revenue, EBITDA, capex breakout'!E5+'Revenue, EBITDA, capex breakout'!E6+'Revenue, EBITDA, capex breakout'!E7+'Revenue, EBITDA, capex breakout'!E4</f>
        <v>129028.312924</v>
      </c>
      <c r="F5" s="189">
        <f>'Revenue, EBITDA, capex breakout'!F5+'Revenue, EBITDA, capex breakout'!F6+'Revenue, EBITDA, capex breakout'!F7+'Revenue, EBITDA, capex breakout'!F4</f>
        <v>129640.349669</v>
      </c>
      <c r="G5" s="189">
        <f>'Revenue, EBITDA, capex breakout'!G5+'Revenue, EBITDA, capex breakout'!G6+'Revenue, EBITDA, capex breakout'!G7+'Revenue, EBITDA, capex breakout'!G4</f>
        <v>136305.91247899999</v>
      </c>
      <c r="H5" s="189">
        <f>'Revenue, EBITDA, capex breakout'!H5+'Revenue, EBITDA, capex breakout'!H6+'Revenue, EBITDA, capex breakout'!H7+'Revenue, EBITDA, capex breakout'!H4</f>
        <v>135059.160515</v>
      </c>
      <c r="I5" s="189">
        <f>'Revenue, EBITDA, capex breakout'!I5+'Revenue, EBITDA, capex breakout'!I6+'Revenue, EBITDA, capex breakout'!I7+'Revenue, EBITDA, capex breakout'!I4</f>
        <v>137356.27413099998</v>
      </c>
      <c r="J5" s="189">
        <f>'Revenue, EBITDA, capex breakout'!J5+'Revenue, EBITDA, capex breakout'!J6+'Revenue, EBITDA, capex breakout'!J7+'Revenue, EBITDA, capex breakout'!J4</f>
        <v>144432.466277</v>
      </c>
      <c r="K5" s="189">
        <f>'Revenue, EBITDA, capex breakout'!K5+'Revenue, EBITDA, capex breakout'!K6+'Revenue, EBITDA, capex breakout'!K7+'Revenue, EBITDA, capex breakout'!K4</f>
        <v>145194.39861100001</v>
      </c>
      <c r="L5" s="189">
        <f>'Revenue, EBITDA, capex breakout'!L5+'Revenue, EBITDA, capex breakout'!L6+'Revenue, EBITDA, capex breakout'!L7+'Revenue, EBITDA, capex breakout'!L4</f>
        <v>147894.53886499998</v>
      </c>
      <c r="M5" s="189">
        <f>'Revenue, EBITDA, capex breakout'!M5+'Revenue, EBITDA, capex breakout'!M6+'Revenue, EBITDA, capex breakout'!M7+'Revenue, EBITDA, capex breakout'!M4</f>
        <v>152798.11074400006</v>
      </c>
      <c r="N5" s="189">
        <f>'Revenue, EBITDA, capex breakout'!N5+'Revenue, EBITDA, capex breakout'!N6+'Revenue, EBITDA, capex breakout'!N7+'Revenue, EBITDA, capex breakout'!N4</f>
        <v>160255.553973</v>
      </c>
      <c r="O5" s="189">
        <f>'Revenue, EBITDA, capex breakout'!O5+'Revenue, EBITDA, capex breakout'!O6+'Revenue, EBITDA, capex breakout'!O7+'Revenue, EBITDA, capex breakout'!O4</f>
        <v>160802.71063099999</v>
      </c>
      <c r="P5" s="189">
        <f>'Revenue, EBITDA, capex breakout'!P5+'Revenue, EBITDA, capex breakout'!P6+'Revenue, EBITDA, capex breakout'!P7+'Revenue, EBITDA, capex breakout'!P4</f>
        <v>165216.38871200001</v>
      </c>
      <c r="Q5" s="189">
        <f>'Revenue, EBITDA, capex breakout'!Q5+'Revenue, EBITDA, capex breakout'!Q6+'Revenue, EBITDA, capex breakout'!Q7+'Revenue, EBITDA, capex breakout'!Q4</f>
        <v>169575.64235799998</v>
      </c>
      <c r="R5" s="189">
        <f>'Revenue, EBITDA, capex breakout'!R5+'Revenue, EBITDA, capex breakout'!R6+'Revenue, EBITDA, capex breakout'!R7+'Revenue, EBITDA, capex breakout'!R4</f>
        <v>175101.16862500002</v>
      </c>
      <c r="S5" s="189">
        <f>'Revenue, EBITDA, capex breakout'!S5+'Revenue, EBITDA, capex breakout'!S6+'Revenue, EBITDA, capex breakout'!S7+'Revenue, EBITDA, capex breakout'!S4</f>
        <v>174777.19021799997</v>
      </c>
      <c r="T5" s="189">
        <f>'Revenue, EBITDA, capex breakout'!T5+'Revenue, EBITDA, capex breakout'!T6+'Revenue, EBITDA, capex breakout'!T7+'Revenue, EBITDA, capex breakout'!T4</f>
        <v>177558.31761799997</v>
      </c>
      <c r="U5" s="189">
        <f>'Revenue, EBITDA, capex breakout'!U5+'Revenue, EBITDA, capex breakout'!U6+'Revenue, EBITDA, capex breakout'!U7+'Revenue, EBITDA, capex breakout'!U4</f>
        <v>184618.77201400005</v>
      </c>
      <c r="V5" s="189">
        <f>'Revenue, EBITDA, capex breakout'!V5+'Revenue, EBITDA, capex breakout'!V6+'Revenue, EBITDA, capex breakout'!V7+'Revenue, EBITDA, capex breakout'!V4</f>
        <v>192331.977055</v>
      </c>
      <c r="W5" s="189">
        <f>'Revenue, EBITDA, capex breakout'!W5+'Revenue, EBITDA, capex breakout'!W6+'Revenue, EBITDA, capex breakout'!W7+'Revenue, EBITDA, capex breakout'!W4</f>
        <v>192667.924462414</v>
      </c>
      <c r="X5" s="189">
        <f>'Revenue, EBITDA, capex breakout'!X5+'Revenue, EBITDA, capex breakout'!X6+'Revenue, EBITDA, capex breakout'!X7+'Revenue, EBITDA, capex breakout'!X4</f>
        <v>180939.80079520502</v>
      </c>
      <c r="Y5" s="189">
        <f>'Revenue, EBITDA, capex breakout'!Y5+'Revenue, EBITDA, capex breakout'!Y6+'Revenue, EBITDA, capex breakout'!Y7+'Revenue, EBITDA, capex breakout'!Y4</f>
        <v>170930.100387919</v>
      </c>
      <c r="Z5" s="189">
        <f>'Revenue, EBITDA, capex breakout'!Z5+'Revenue, EBITDA, capex breakout'!Z6+'Revenue, EBITDA, capex breakout'!Z7+'Revenue, EBITDA, capex breakout'!Z4</f>
        <v>172696.11269099999</v>
      </c>
      <c r="AA5" s="189">
        <f>'Revenue, EBITDA, capex breakout'!AA5+'Revenue, EBITDA, capex breakout'!AA6+'Revenue, EBITDA, capex breakout'!AA7+'Revenue, EBITDA, capex breakout'!AA4</f>
        <v>166499</v>
      </c>
      <c r="AB5" s="189">
        <f>'Revenue, EBITDA, capex breakout'!AB5+'Revenue, EBITDA, capex breakout'!AB6+'Revenue, EBITDA, capex breakout'!AB7+'Revenue, EBITDA, capex breakout'!AB4</f>
        <v>152404.62629799999</v>
      </c>
      <c r="AC5" s="190">
        <f>'Revenue, EBITDA, capex breakout'!AC5+'Revenue, EBITDA, capex breakout'!AC6+'Revenue, EBITDA, capex breakout'!AC7+'Revenue, EBITDA, capex breakout'!AC4</f>
        <v>147440.57998400007</v>
      </c>
      <c r="AD5" s="190">
        <f>'Revenue, EBITDA, capex breakout'!AD5+'Revenue, EBITDA, capex breakout'!AD6+'Revenue, EBITDA, capex breakout'!AD7+'Revenue, EBITDA, capex breakout'!AD4</f>
        <v>150395.87975730901</v>
      </c>
      <c r="AE5" s="190">
        <f>'Revenue, EBITDA, capex breakout'!AE5+'Revenue, EBITDA, capex breakout'!AE6+'Revenue, EBITDA, capex breakout'!AE7+'Revenue, EBITDA, capex breakout'!AE4</f>
        <v>151828.697768187</v>
      </c>
      <c r="AF5" s="190">
        <f>'Revenue, EBITDA, capex breakout'!AF5+'Revenue, EBITDA, capex breakout'!AF6+'Revenue, EBITDA, capex breakout'!AF7+'Revenue, EBITDA, capex breakout'!AF4</f>
        <v>148842.18716575496</v>
      </c>
      <c r="AG5" s="190">
        <f>'Revenue, EBITDA, capex breakout'!AG5+'Revenue, EBITDA, capex breakout'!AG6+'Revenue, EBITDA, capex breakout'!AG7+'Revenue, EBITDA, capex breakout'!AG4</f>
        <v>152403.55912176307</v>
      </c>
      <c r="AH5" s="190">
        <f>'Revenue, EBITDA, capex breakout'!AH5+'Revenue, EBITDA, capex breakout'!AH6+'Revenue, EBITDA, capex breakout'!AH7+'Revenue, EBITDA, capex breakout'!AH4</f>
        <v>153841.87674660599</v>
      </c>
      <c r="AI5" s="190">
        <f>'Revenue, EBITDA, capex breakout'!AI5+'Revenue, EBITDA, capex breakout'!AI6+'Revenue, EBITDA, capex breakout'!AI7+'Revenue, EBITDA, capex breakout'!AI4</f>
        <v>156494</v>
      </c>
      <c r="AJ5" s="190">
        <f>'Revenue, EBITDA, capex breakout'!AJ5+'Revenue, EBITDA, capex breakout'!AJ6+'Revenue, EBITDA, capex breakout'!AJ7+'Revenue, EBITDA, capex breakout'!AJ4</f>
        <v>158297.27014607697</v>
      </c>
      <c r="AK5" s="190">
        <f>'Revenue, EBITDA, capex breakout'!AK5+'Revenue, EBITDA, capex breakout'!AK6+'Revenue, EBITDA, capex breakout'!AK7+'Revenue, EBITDA, capex breakout'!AK4</f>
        <v>175051.125952965</v>
      </c>
      <c r="AL5" s="190">
        <f>'Revenue, EBITDA, capex breakout'!AL5+'Revenue, EBITDA, capex breakout'!AL6+'Revenue, EBITDA, capex breakout'!AL7+'Revenue, EBITDA, capex breakout'!AL4</f>
        <v>177024.338749413</v>
      </c>
      <c r="AM5" s="190">
        <f>'Revenue, EBITDA, capex breakout'!AM5+'Revenue, EBITDA, capex breakout'!AM6+'Revenue, EBITDA, capex breakout'!AM7+'Revenue, EBITDA, capex breakout'!AM4</f>
        <v>187561.68006879697</v>
      </c>
      <c r="AN5" s="190">
        <f>'Revenue, EBITDA, capex breakout'!AN5+'Revenue, EBITDA, capex breakout'!AN6+'Revenue, EBITDA, capex breakout'!AN7+'Revenue, EBITDA, capex breakout'!AN4</f>
        <v>197569.290132483</v>
      </c>
      <c r="AO5" s="190">
        <f>'Revenue, EBITDA, capex breakout'!AO5+'Revenue, EBITDA, capex breakout'!AO6+'Revenue, EBITDA, capex breakout'!AO7+'Revenue, EBITDA, capex breakout'!AO4</f>
        <v>191499.77629945514</v>
      </c>
      <c r="AP5" s="190">
        <f>'Revenue, EBITDA, capex breakout'!AP5+'Revenue, EBITDA, capex breakout'!AP6+'Revenue, EBITDA, capex breakout'!AP7+'Revenue, EBITDA, capex breakout'!AP4</f>
        <v>195575.95720367998</v>
      </c>
      <c r="AQ5" s="190">
        <f>'Revenue, EBITDA, capex breakout'!AQ5+'Revenue, EBITDA, capex breakout'!AQ6+'Revenue, EBITDA, capex breakout'!AQ7+'Revenue, EBITDA, capex breakout'!AQ4</f>
        <v>206973</v>
      </c>
      <c r="AR5" s="190">
        <f>'Revenue, EBITDA, capex breakout'!AR5+'Revenue, EBITDA, capex breakout'!AR6+'Revenue, EBITDA, capex breakout'!AR7+'Revenue, EBITDA, capex breakout'!AR4</f>
        <v>217113.02795657696</v>
      </c>
      <c r="AS5" s="190">
        <f>'Revenue, EBITDA, capex breakout'!AS5+'Revenue, EBITDA, capex breakout'!AS6+'Revenue, EBITDA, capex breakout'!AS7+'Revenue, EBITDA, capex breakout'!AS4</f>
        <v>233374.22114176504</v>
      </c>
      <c r="AT5" s="190">
        <f>'Revenue, EBITDA, capex breakout'!AT5+'Revenue, EBITDA, capex breakout'!AT6+'Revenue, EBITDA, capex breakout'!AT7+'Revenue, EBITDA, capex breakout'!AT4</f>
        <v>241806.85340492902</v>
      </c>
      <c r="AU5" s="190">
        <f>'Revenue, EBITDA, capex breakout'!AU5+'Revenue, EBITDA, capex breakout'!AU6+'Revenue, EBITDA, capex breakout'!AU7+'Revenue, EBITDA, capex breakout'!AU4</f>
        <v>252654.59152299305</v>
      </c>
      <c r="AV5" s="190">
        <f>'Revenue, EBITDA, capex breakout'!AV5+'Revenue, EBITDA, capex breakout'!AV6+'Revenue, EBITDA, capex breakout'!AV7+'Revenue, EBITDA, capex breakout'!AV4</f>
        <v>259038.94989286602</v>
      </c>
      <c r="AW5" s="190">
        <f>'Revenue, EBITDA, capex breakout'!AW5+'Revenue, EBITDA, capex breakout'!AW6+'Revenue, EBITDA, capex breakout'!AW7+'Revenue, EBITDA, capex breakout'!AW4</f>
        <v>261598.52623776012</v>
      </c>
      <c r="AX5" s="190">
        <f>'Revenue, EBITDA, capex breakout'!AX5+'Revenue, EBITDA, capex breakout'!AX6+'Revenue, EBITDA, capex breakout'!AX7+'Revenue, EBITDA, capex breakout'!AX4</f>
        <v>273493.79258503497</v>
      </c>
      <c r="AY5" s="190">
        <f>'Revenue, EBITDA, capex breakout'!AY5+'Revenue, EBITDA, capex breakout'!AY6+'Revenue, EBITDA, capex breakout'!AY7+'Revenue, EBITDA, capex breakout'!AY4</f>
        <v>280343.04168983898</v>
      </c>
      <c r="AZ5" s="190">
        <f>'Revenue, EBITDA, capex breakout'!AZ5+'Revenue, EBITDA, capex breakout'!AZ6+'Revenue, EBITDA, capex breakout'!AZ7+'Revenue, EBITDA, capex breakout'!AZ4</f>
        <v>288888.84117272397</v>
      </c>
      <c r="BA5" s="190">
        <f>'Revenue, EBITDA, capex breakout'!BA5+'Revenue, EBITDA, capex breakout'!BA6+'Revenue, EBITDA, capex breakout'!BA7+'Revenue, EBITDA, capex breakout'!BA4</f>
        <v>296121.30637706904</v>
      </c>
      <c r="BB5" s="190">
        <f>'Revenue, EBITDA, capex breakout'!BB5+'Revenue, EBITDA, capex breakout'!BB6+'Revenue, EBITDA, capex breakout'!BB7+'Revenue, EBITDA, capex breakout'!BB4</f>
        <v>301480.40000000002</v>
      </c>
      <c r="BC5" s="190">
        <f>'Revenue, EBITDA, capex breakout'!BC5+'Revenue, EBITDA, capex breakout'!BC6+'Revenue, EBITDA, capex breakout'!BC7+'Revenue, EBITDA, capex breakout'!BC4</f>
        <v>326833</v>
      </c>
      <c r="BD5" s="2"/>
      <c r="BE5" s="2"/>
      <c r="BF5" s="2"/>
      <c r="BG5" s="2"/>
    </row>
    <row r="6" spans="1:59">
      <c r="A6" s="2"/>
      <c r="B6" s="111"/>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2"/>
      <c r="BE6" s="2"/>
      <c r="BF6" s="2"/>
      <c r="BG6" s="2"/>
    </row>
    <row r="7" spans="1:59">
      <c r="A7" s="15" t="s">
        <v>196</v>
      </c>
      <c r="B7" s="268">
        <v>13847</v>
      </c>
      <c r="C7" s="268">
        <v>14594</v>
      </c>
      <c r="D7" s="268">
        <v>15371</v>
      </c>
      <c r="E7" s="268">
        <v>15720</v>
      </c>
      <c r="F7" s="268">
        <v>16866</v>
      </c>
      <c r="G7" s="268">
        <v>20068</v>
      </c>
      <c r="H7" s="268">
        <v>19622</v>
      </c>
      <c r="I7" s="268">
        <v>18338</v>
      </c>
      <c r="J7" s="268">
        <v>19141</v>
      </c>
      <c r="K7" s="268">
        <v>17780</v>
      </c>
      <c r="L7" s="268">
        <v>17613</v>
      </c>
      <c r="M7" s="268">
        <v>18366</v>
      </c>
      <c r="N7" s="268">
        <v>18766</v>
      </c>
      <c r="O7" s="268">
        <v>19749</v>
      </c>
      <c r="P7" s="268">
        <v>20392</v>
      </c>
      <c r="Q7" s="268">
        <v>20051</v>
      </c>
      <c r="R7" s="268">
        <v>19567</v>
      </c>
      <c r="S7" s="268">
        <v>20678</v>
      </c>
      <c r="T7" s="268">
        <v>19658</v>
      </c>
      <c r="U7" s="268">
        <v>18963.370955000009</v>
      </c>
      <c r="V7" s="268">
        <v>19768.940515999999</v>
      </c>
      <c r="W7" s="268">
        <v>22400.574878522002</v>
      </c>
      <c r="X7" s="268">
        <v>18698.498933807979</v>
      </c>
      <c r="Y7" s="268">
        <v>17834.09848824704</v>
      </c>
      <c r="Z7" s="268">
        <v>20321.361478649993</v>
      </c>
      <c r="AA7" s="268">
        <v>21302</v>
      </c>
      <c r="AB7" s="268">
        <v>15290.330621625009</v>
      </c>
      <c r="AC7" s="269">
        <v>16772.49426147297</v>
      </c>
      <c r="AD7" s="269">
        <v>17697.254291571007</v>
      </c>
      <c r="AE7" s="269">
        <v>19507.610211006977</v>
      </c>
      <c r="AF7" s="269">
        <v>20486.458823785004</v>
      </c>
      <c r="AG7" s="269">
        <v>20456.752919821993</v>
      </c>
      <c r="AH7" s="269">
        <v>21508</v>
      </c>
      <c r="AI7" s="269">
        <v>21904.170273603002</v>
      </c>
      <c r="AJ7" s="269">
        <v>22067.228937402</v>
      </c>
      <c r="AK7" s="269">
        <v>23087.204413352007</v>
      </c>
      <c r="AL7" s="268">
        <v>23157.279039621011</v>
      </c>
      <c r="AM7" s="268">
        <v>23996.150759216987</v>
      </c>
      <c r="AN7" s="268">
        <v>24838.570201162001</v>
      </c>
      <c r="AO7" s="268">
        <v>11209</v>
      </c>
      <c r="AP7" s="268">
        <v>10609.737318035</v>
      </c>
      <c r="AQ7" s="268">
        <v>11129.187637265994</v>
      </c>
      <c r="AR7" s="268">
        <v>11495.266069392001</v>
      </c>
      <c r="AS7" s="268">
        <v>11657.385531330016</v>
      </c>
      <c r="AT7" s="268">
        <v>12635.488587614998</v>
      </c>
      <c r="AU7" s="268">
        <v>13716.075807549996</v>
      </c>
      <c r="AV7" s="268">
        <v>13516.132495481013</v>
      </c>
      <c r="AW7" s="268">
        <v>13127.275844676</v>
      </c>
      <c r="AX7" s="268">
        <v>14463.510647754996</v>
      </c>
      <c r="AY7" s="268">
        <v>14294.402670265001</v>
      </c>
      <c r="AZ7" s="268">
        <v>14799.337250323024</v>
      </c>
      <c r="BA7" s="268">
        <v>15477.660726657956</v>
      </c>
      <c r="BB7" s="268">
        <v>16012</v>
      </c>
      <c r="BC7" s="268">
        <v>15187</v>
      </c>
      <c r="BD7" s="15"/>
      <c r="BE7" s="15"/>
      <c r="BF7" s="66"/>
      <c r="BG7" s="2"/>
    </row>
    <row r="8" spans="1:59">
      <c r="A8" s="15" t="s">
        <v>197</v>
      </c>
      <c r="B8" s="268">
        <v>13025</v>
      </c>
      <c r="C8" s="268">
        <v>12547</v>
      </c>
      <c r="D8" s="268">
        <v>13371</v>
      </c>
      <c r="E8" s="268">
        <v>13829</v>
      </c>
      <c r="F8" s="268">
        <v>13868</v>
      </c>
      <c r="G8" s="268">
        <v>13559</v>
      </c>
      <c r="H8" s="268">
        <v>13486</v>
      </c>
      <c r="I8" s="268">
        <v>13828</v>
      </c>
      <c r="J8" s="268">
        <v>14816</v>
      </c>
      <c r="K8" s="268">
        <v>15152</v>
      </c>
      <c r="L8" s="268">
        <v>15342</v>
      </c>
      <c r="M8" s="268">
        <v>15896</v>
      </c>
      <c r="N8" s="268">
        <v>17689</v>
      </c>
      <c r="O8" s="268">
        <v>17320</v>
      </c>
      <c r="P8" s="268">
        <v>17775</v>
      </c>
      <c r="Q8" s="268">
        <v>17907</v>
      </c>
      <c r="R8" s="270">
        <v>19216</v>
      </c>
      <c r="S8" s="271">
        <v>19155</v>
      </c>
      <c r="T8" s="271">
        <v>19293</v>
      </c>
      <c r="U8" s="271">
        <v>20909.970880999994</v>
      </c>
      <c r="V8" s="271">
        <v>21373.569487000001</v>
      </c>
      <c r="W8" s="271">
        <v>20689.577794076002</v>
      </c>
      <c r="X8" s="271">
        <v>18876.246786164993</v>
      </c>
      <c r="Y8" s="271">
        <v>17635.230890748004</v>
      </c>
      <c r="Z8" s="271">
        <v>17506.32202227</v>
      </c>
      <c r="AA8" s="271">
        <v>16633</v>
      </c>
      <c r="AB8" s="271">
        <v>14696.299596817</v>
      </c>
      <c r="AC8" s="271">
        <v>14377.812541824998</v>
      </c>
      <c r="AD8" s="271">
        <v>13808.167344256</v>
      </c>
      <c r="AE8" s="271">
        <v>14286.134722766999</v>
      </c>
      <c r="AF8" s="271">
        <v>14041.040520505003</v>
      </c>
      <c r="AG8" s="271">
        <v>14033.281021763998</v>
      </c>
      <c r="AH8" s="271">
        <v>14595</v>
      </c>
      <c r="AI8" s="271">
        <v>13251.236363331001</v>
      </c>
      <c r="AJ8" s="271">
        <v>14368.119357454998</v>
      </c>
      <c r="AK8" s="271">
        <v>16351.421276547</v>
      </c>
      <c r="AL8" s="271">
        <v>16263.487976723</v>
      </c>
      <c r="AM8" s="271">
        <v>17886.217101028997</v>
      </c>
      <c r="AN8" s="271">
        <v>18979.842678868008</v>
      </c>
      <c r="AO8" s="271">
        <v>19578.734807861001</v>
      </c>
      <c r="AP8" s="271">
        <v>21345.738363125001</v>
      </c>
      <c r="AQ8" s="271">
        <v>22376.661997925996</v>
      </c>
      <c r="AR8" s="271">
        <v>22876.570594815999</v>
      </c>
      <c r="AS8" s="271">
        <v>25567.951663144991</v>
      </c>
      <c r="AT8" s="271">
        <v>26872.589187692</v>
      </c>
      <c r="AU8" s="271">
        <v>24797.038049776005</v>
      </c>
      <c r="AV8" s="271">
        <v>22996.634517780993</v>
      </c>
      <c r="AW8" s="271">
        <v>23049.036992154019</v>
      </c>
      <c r="AX8" s="271">
        <v>24001.593039813</v>
      </c>
      <c r="AY8" s="271">
        <v>24592.016792909999</v>
      </c>
      <c r="AZ8" s="271">
        <v>25129.893529472014</v>
      </c>
      <c r="BA8" s="271">
        <v>25905.670541553976</v>
      </c>
      <c r="BB8" s="271">
        <v>26239</v>
      </c>
      <c r="BC8" s="271">
        <v>29198</v>
      </c>
      <c r="BD8" s="15"/>
      <c r="BE8" s="187"/>
      <c r="BF8" s="66"/>
      <c r="BG8" s="2"/>
    </row>
    <row r="9" spans="1:59">
      <c r="A9" s="15" t="s">
        <v>348</v>
      </c>
      <c r="B9" s="268">
        <v>14430</v>
      </c>
      <c r="C9" s="268">
        <v>14455</v>
      </c>
      <c r="D9" s="268">
        <v>13403</v>
      </c>
      <c r="E9" s="268">
        <v>15305</v>
      </c>
      <c r="F9" s="268">
        <v>27972</v>
      </c>
      <c r="G9" s="268">
        <v>31149</v>
      </c>
      <c r="H9" s="268">
        <v>32634</v>
      </c>
      <c r="I9" s="268">
        <v>34002</v>
      </c>
      <c r="J9" s="268">
        <v>34199</v>
      </c>
      <c r="K9" s="268">
        <v>35299</v>
      </c>
      <c r="L9" s="268">
        <v>36429</v>
      </c>
      <c r="M9" s="268">
        <v>35896</v>
      </c>
      <c r="N9" s="268">
        <v>36390</v>
      </c>
      <c r="O9" s="268">
        <v>37073</v>
      </c>
      <c r="P9" s="268">
        <v>37745</v>
      </c>
      <c r="Q9" s="268">
        <v>35113</v>
      </c>
      <c r="R9" s="272">
        <v>37199</v>
      </c>
      <c r="S9" s="273">
        <v>38381</v>
      </c>
      <c r="T9" s="273">
        <v>39293</v>
      </c>
      <c r="U9" s="273">
        <v>36590.741142000006</v>
      </c>
      <c r="V9" s="273">
        <v>38341.516525999999</v>
      </c>
      <c r="W9" s="273">
        <v>38311.793158742999</v>
      </c>
      <c r="X9" s="273">
        <v>39817.968628417024</v>
      </c>
      <c r="Y9" s="273">
        <v>39720.559538466965</v>
      </c>
      <c r="Z9" s="273">
        <v>39348.703712524992</v>
      </c>
      <c r="AA9" s="273">
        <v>38555</v>
      </c>
      <c r="AB9" s="273">
        <v>36400.552852334018</v>
      </c>
      <c r="AC9" s="273">
        <v>37076.458803100977</v>
      </c>
      <c r="AD9" s="273">
        <v>39471.789859402001</v>
      </c>
      <c r="AE9" s="273">
        <v>43686.398048705996</v>
      </c>
      <c r="AF9" s="273">
        <v>44641.129657335019</v>
      </c>
      <c r="AG9" s="273">
        <v>46643.152248188002</v>
      </c>
      <c r="AH9" s="273">
        <v>36697</v>
      </c>
      <c r="AI9" s="273">
        <v>38626.983640633</v>
      </c>
      <c r="AJ9" s="273">
        <v>37710.255608909982</v>
      </c>
      <c r="AK9" s="273">
        <v>40449.326631992037</v>
      </c>
      <c r="AL9" s="273">
        <v>39186.019023526009</v>
      </c>
      <c r="AM9" s="273">
        <v>41525.60083259597</v>
      </c>
      <c r="AN9" s="273">
        <v>42220.254919382001</v>
      </c>
      <c r="AO9" s="273">
        <v>45437.02002064306</v>
      </c>
      <c r="AP9" s="273">
        <v>43497.783052555002</v>
      </c>
      <c r="AQ9" s="273">
        <v>46712.778690456013</v>
      </c>
      <c r="AR9" s="273">
        <v>49610.442358732013</v>
      </c>
      <c r="AS9" s="273">
        <v>49466.845806869991</v>
      </c>
      <c r="AT9" s="273">
        <v>49168.475150659004</v>
      </c>
      <c r="AU9" s="273">
        <v>50829.022690800011</v>
      </c>
      <c r="AV9" s="273">
        <v>51205.768887335034</v>
      </c>
      <c r="AW9" s="273">
        <v>52208.83178526711</v>
      </c>
      <c r="AX9" s="273">
        <v>51953.059426486005</v>
      </c>
      <c r="AY9" s="273">
        <v>55668.030140540031</v>
      </c>
      <c r="AZ9" s="273">
        <v>57205.878026099868</v>
      </c>
      <c r="BA9" s="273">
        <v>58393.899426632117</v>
      </c>
      <c r="BB9" s="273">
        <v>58281</v>
      </c>
      <c r="BC9" s="273">
        <v>61083</v>
      </c>
      <c r="BD9" s="15"/>
      <c r="BE9" s="187"/>
      <c r="BF9" s="66"/>
      <c r="BG9" s="2"/>
    </row>
    <row r="10" spans="1:59">
      <c r="A10" s="15" t="s">
        <v>198</v>
      </c>
      <c r="B10" s="268">
        <v>231</v>
      </c>
      <c r="C10" s="268">
        <v>308</v>
      </c>
      <c r="D10" s="268">
        <v>557</v>
      </c>
      <c r="E10" s="268">
        <v>311</v>
      </c>
      <c r="F10" s="268">
        <v>322</v>
      </c>
      <c r="G10" s="268">
        <v>228</v>
      </c>
      <c r="H10" s="268">
        <v>314</v>
      </c>
      <c r="I10" s="268">
        <v>406</v>
      </c>
      <c r="J10" s="268">
        <v>314</v>
      </c>
      <c r="K10" s="268">
        <v>166</v>
      </c>
      <c r="L10" s="268">
        <v>457</v>
      </c>
      <c r="M10" s="268">
        <v>337</v>
      </c>
      <c r="N10" s="268">
        <v>267</v>
      </c>
      <c r="O10" s="268">
        <v>421</v>
      </c>
      <c r="P10" s="268">
        <v>344</v>
      </c>
      <c r="Q10" s="268">
        <v>647</v>
      </c>
      <c r="R10" s="268">
        <v>928</v>
      </c>
      <c r="S10" s="268">
        <v>918</v>
      </c>
      <c r="T10" s="268">
        <v>734</v>
      </c>
      <c r="U10" s="268">
        <v>750.51817899999992</v>
      </c>
      <c r="V10" s="268">
        <v>401.177685</v>
      </c>
      <c r="W10" s="268">
        <v>384.86155223499998</v>
      </c>
      <c r="X10" s="268">
        <v>1076.5949254759998</v>
      </c>
      <c r="Y10" s="268">
        <v>714.68285846500032</v>
      </c>
      <c r="Z10" s="268">
        <v>795.35444486000006</v>
      </c>
      <c r="AA10" s="268">
        <v>801</v>
      </c>
      <c r="AB10" s="269">
        <v>1259.5147772599998</v>
      </c>
      <c r="AC10" s="269">
        <v>825.40717804700034</v>
      </c>
      <c r="AD10" s="269">
        <v>1067.1012147629999</v>
      </c>
      <c r="AE10" s="269">
        <v>1058.3757529530003</v>
      </c>
      <c r="AF10" s="269">
        <v>604.28964517499935</v>
      </c>
      <c r="AG10" s="269">
        <v>381.86012714500021</v>
      </c>
      <c r="AH10" s="269">
        <v>268</v>
      </c>
      <c r="AI10" s="269">
        <v>1046.7463357920001</v>
      </c>
      <c r="AJ10" s="269">
        <v>769.61472262999996</v>
      </c>
      <c r="AK10" s="269">
        <v>947.92256911799996</v>
      </c>
      <c r="AL10" s="269">
        <v>1002.9837854709999</v>
      </c>
      <c r="AM10" s="269">
        <v>988.44473174700011</v>
      </c>
      <c r="AN10" s="269">
        <v>1240.571482782</v>
      </c>
      <c r="AO10" s="269">
        <v>1395.0000000000002</v>
      </c>
      <c r="AP10" s="269">
        <v>1745.5971458299998</v>
      </c>
      <c r="AQ10" s="269">
        <v>1719.958206863</v>
      </c>
      <c r="AR10" s="269">
        <v>2005.6887684970009</v>
      </c>
      <c r="AS10" s="269">
        <v>2155.2138242449992</v>
      </c>
      <c r="AT10" s="269">
        <v>1953.0782221730001</v>
      </c>
      <c r="AU10" s="269">
        <v>2291.0478795900003</v>
      </c>
      <c r="AV10" s="269">
        <v>2676.0562405559999</v>
      </c>
      <c r="AW10" s="269">
        <v>3206.5415213140009</v>
      </c>
      <c r="AX10" s="269">
        <v>2181.21649407</v>
      </c>
      <c r="AY10" s="269">
        <v>2627.625650038</v>
      </c>
      <c r="AZ10" s="269">
        <v>2412.0346134710003</v>
      </c>
      <c r="BA10" s="269">
        <v>4679.0478139639981</v>
      </c>
      <c r="BB10" s="269">
        <v>3790</v>
      </c>
      <c r="BC10" s="269">
        <v>5951</v>
      </c>
      <c r="BD10" s="15"/>
      <c r="BE10" s="15"/>
      <c r="BF10" s="66"/>
      <c r="BG10" s="2"/>
    </row>
    <row r="11" spans="1:59">
      <c r="A11" s="15" t="s">
        <v>199</v>
      </c>
      <c r="B11" s="268">
        <v>5257</v>
      </c>
      <c r="C11" s="268">
        <v>5137</v>
      </c>
      <c r="D11" s="268">
        <v>4532</v>
      </c>
      <c r="E11" s="268">
        <v>4682</v>
      </c>
      <c r="F11" s="268">
        <v>5101</v>
      </c>
      <c r="G11" s="268">
        <v>4757</v>
      </c>
      <c r="H11" s="268">
        <v>4886</v>
      </c>
      <c r="I11" s="268">
        <v>5268</v>
      </c>
      <c r="J11" s="268">
        <v>5588</v>
      </c>
      <c r="K11" s="268">
        <v>5493</v>
      </c>
      <c r="L11" s="268">
        <v>5529</v>
      </c>
      <c r="M11" s="268">
        <v>5280</v>
      </c>
      <c r="N11" s="268">
        <v>5482</v>
      </c>
      <c r="O11" s="268">
        <v>5669</v>
      </c>
      <c r="P11" s="268">
        <v>5516</v>
      </c>
      <c r="Q11" s="268">
        <v>5851</v>
      </c>
      <c r="R11" s="268">
        <v>6132</v>
      </c>
      <c r="S11" s="268">
        <v>5908</v>
      </c>
      <c r="T11" s="268">
        <v>5929</v>
      </c>
      <c r="U11" s="268">
        <v>6617.2494569999999</v>
      </c>
      <c r="V11" s="268">
        <v>5862.729284</v>
      </c>
      <c r="W11" s="268">
        <v>6183.934594673</v>
      </c>
      <c r="X11" s="268">
        <v>5733.7219816260013</v>
      </c>
      <c r="Y11" s="268">
        <v>6060.0638705149986</v>
      </c>
      <c r="Z11" s="268">
        <v>6185.6173258299996</v>
      </c>
      <c r="AA11" s="268">
        <v>6140</v>
      </c>
      <c r="AB11" s="269">
        <v>5884.5120404239979</v>
      </c>
      <c r="AC11" s="269">
        <v>6012.3893896980089</v>
      </c>
      <c r="AD11" s="269">
        <v>5334.8175960579983</v>
      </c>
      <c r="AE11" s="269">
        <v>5580.0987805370032</v>
      </c>
      <c r="AF11" s="269">
        <v>5256.2158419100006</v>
      </c>
      <c r="AG11" s="269">
        <v>5304.9503629839955</v>
      </c>
      <c r="AH11" s="269">
        <v>5069</v>
      </c>
      <c r="AI11" s="269">
        <v>5593.8639129850008</v>
      </c>
      <c r="AJ11" s="269">
        <v>5416.0169382339964</v>
      </c>
      <c r="AK11" s="269">
        <v>5165.014541683001</v>
      </c>
      <c r="AL11" s="269">
        <v>5886.3006052010005</v>
      </c>
      <c r="AM11" s="269">
        <v>5021.0041270309976</v>
      </c>
      <c r="AN11" s="269">
        <v>5442.9933963689909</v>
      </c>
      <c r="AO11" s="269">
        <v>5177.805480324012</v>
      </c>
      <c r="AP11" s="269">
        <v>5379.0952408350004</v>
      </c>
      <c r="AQ11" s="269">
        <v>5785.841610595</v>
      </c>
      <c r="AR11" s="269">
        <v>4980.392143037001</v>
      </c>
      <c r="AS11" s="269">
        <v>5824.4715122000052</v>
      </c>
      <c r="AT11" s="269">
        <v>5975.0829239730001</v>
      </c>
      <c r="AU11" s="269">
        <v>6357.2971926370001</v>
      </c>
      <c r="AV11" s="269">
        <v>6227.8102238739966</v>
      </c>
      <c r="AW11" s="269">
        <v>6283.3745530189999</v>
      </c>
      <c r="AX11" s="269">
        <v>6473.1609645870003</v>
      </c>
      <c r="AY11" s="269">
        <v>7149.7788744130003</v>
      </c>
      <c r="AZ11" s="269">
        <v>6850.611867615994</v>
      </c>
      <c r="BA11" s="269">
        <v>7481.50093152301</v>
      </c>
      <c r="BB11" s="269">
        <v>7721</v>
      </c>
      <c r="BC11" s="269">
        <v>8468</v>
      </c>
      <c r="BD11" s="15"/>
      <c r="BE11" s="15"/>
      <c r="BF11" s="66"/>
      <c r="BG11" s="2"/>
    </row>
    <row r="12" spans="1:59" ht="15.7" thickBot="1">
      <c r="A12" s="15" t="s">
        <v>200</v>
      </c>
      <c r="B12" s="273">
        <v>18000</v>
      </c>
      <c r="C12" s="273">
        <v>17860</v>
      </c>
      <c r="D12" s="273">
        <v>20099</v>
      </c>
      <c r="E12" s="273">
        <v>19530</v>
      </c>
      <c r="F12" s="273">
        <v>22165</v>
      </c>
      <c r="G12" s="273">
        <v>19703</v>
      </c>
      <c r="H12" s="273">
        <v>18717</v>
      </c>
      <c r="I12" s="273">
        <v>16593</v>
      </c>
      <c r="J12" s="273">
        <v>18053</v>
      </c>
      <c r="K12" s="273">
        <v>18113</v>
      </c>
      <c r="L12" s="273">
        <v>17422</v>
      </c>
      <c r="M12" s="273">
        <v>18920</v>
      </c>
      <c r="N12" s="273">
        <v>19798</v>
      </c>
      <c r="O12" s="273">
        <v>17527</v>
      </c>
      <c r="P12" s="273">
        <v>17829</v>
      </c>
      <c r="Q12" s="273">
        <v>18999</v>
      </c>
      <c r="R12" s="269">
        <v>20670</v>
      </c>
      <c r="S12" s="269">
        <v>19731</v>
      </c>
      <c r="T12" s="269">
        <v>20819</v>
      </c>
      <c r="U12" s="269">
        <v>22956.93889300002</v>
      </c>
      <c r="V12" s="269">
        <v>24347.715528000001</v>
      </c>
      <c r="W12" s="269">
        <v>22394.072042555999</v>
      </c>
      <c r="X12" s="269">
        <v>24118.487153818012</v>
      </c>
      <c r="Y12" s="269">
        <v>22657.538544897998</v>
      </c>
      <c r="Z12" s="269">
        <v>24069.351473729999</v>
      </c>
      <c r="AA12" s="269">
        <v>21251</v>
      </c>
      <c r="AB12" s="269">
        <v>22830.871092974983</v>
      </c>
      <c r="AC12" s="269">
        <v>21129.160490949998</v>
      </c>
      <c r="AD12" s="269">
        <v>23261.377375264998</v>
      </c>
      <c r="AE12" s="269">
        <v>23303.818102215017</v>
      </c>
      <c r="AF12" s="269">
        <v>22253.906112369994</v>
      </c>
      <c r="AG12" s="269">
        <v>20811.840600451</v>
      </c>
      <c r="AH12" s="269">
        <v>16564</v>
      </c>
      <c r="AI12" s="269">
        <v>10785.308003825998</v>
      </c>
      <c r="AJ12" s="269">
        <v>13320.068347061997</v>
      </c>
      <c r="AK12" s="269">
        <v>13526.666108078005</v>
      </c>
      <c r="AL12" s="269">
        <v>12285.754325463999</v>
      </c>
      <c r="AM12" s="269">
        <v>11820.533975223998</v>
      </c>
      <c r="AN12" s="269">
        <v>12600.438543828001</v>
      </c>
      <c r="AO12" s="269">
        <v>12026.009381834005</v>
      </c>
      <c r="AP12" s="269">
        <v>13999.050142024998</v>
      </c>
      <c r="AQ12" s="269">
        <v>13473.949392461</v>
      </c>
      <c r="AR12" s="269">
        <v>14960.861486028007</v>
      </c>
      <c r="AS12" s="269">
        <v>17829.894505745004</v>
      </c>
      <c r="AT12" s="269">
        <v>18510.330800790001</v>
      </c>
      <c r="AU12" s="269">
        <v>20302.482224580002</v>
      </c>
      <c r="AV12" s="269">
        <v>22582.550775844997</v>
      </c>
      <c r="AW12" s="269">
        <v>21531.363286230011</v>
      </c>
      <c r="AX12" s="269">
        <v>24218.979877614001</v>
      </c>
      <c r="AY12" s="269">
        <v>21010.464246240997</v>
      </c>
      <c r="AZ12" s="269">
        <v>23884.376429721007</v>
      </c>
      <c r="BA12" s="269">
        <v>22506.106017001988</v>
      </c>
      <c r="BB12" s="269">
        <v>24266</v>
      </c>
      <c r="BC12" s="269">
        <v>24384</v>
      </c>
      <c r="BD12" s="15"/>
      <c r="BE12" s="15"/>
      <c r="BF12" s="66"/>
      <c r="BG12" s="2"/>
    </row>
    <row r="13" spans="1:59" ht="15.7" thickBot="1">
      <c r="A13" s="188" t="s">
        <v>201</v>
      </c>
      <c r="B13" s="274">
        <v>64790</v>
      </c>
      <c r="C13" s="274">
        <v>64901</v>
      </c>
      <c r="D13" s="274">
        <v>67333</v>
      </c>
      <c r="E13" s="274">
        <v>69377</v>
      </c>
      <c r="F13" s="274">
        <v>86294</v>
      </c>
      <c r="G13" s="274">
        <v>89464</v>
      </c>
      <c r="H13" s="274">
        <v>89659</v>
      </c>
      <c r="I13" s="274">
        <v>88435</v>
      </c>
      <c r="J13" s="274">
        <v>92111</v>
      </c>
      <c r="K13" s="274">
        <v>92003</v>
      </c>
      <c r="L13" s="274">
        <v>92792</v>
      </c>
      <c r="M13" s="274">
        <v>94695</v>
      </c>
      <c r="N13" s="274">
        <v>98392</v>
      </c>
      <c r="O13" s="274">
        <v>97759</v>
      </c>
      <c r="P13" s="274">
        <v>99601</v>
      </c>
      <c r="Q13" s="274">
        <v>98568</v>
      </c>
      <c r="R13" s="275">
        <v>103712</v>
      </c>
      <c r="S13" s="276">
        <v>104771</v>
      </c>
      <c r="T13" s="276">
        <v>105726</v>
      </c>
      <c r="U13" s="276">
        <v>106788.78950700004</v>
      </c>
      <c r="V13" s="276">
        <v>110095.649026</v>
      </c>
      <c r="W13" s="276">
        <v>110364.814020805</v>
      </c>
      <c r="X13" s="276">
        <v>108321.51840931003</v>
      </c>
      <c r="Y13" s="276">
        <v>104622.17419134</v>
      </c>
      <c r="Z13" s="276">
        <v>108226.71045786497</v>
      </c>
      <c r="AA13" s="276">
        <f>SUM(AA7:AA12)</f>
        <v>104682</v>
      </c>
      <c r="AB13" s="276">
        <v>96362.080981435007</v>
      </c>
      <c r="AC13" s="276">
        <v>96193.722665093956</v>
      </c>
      <c r="AD13" s="276">
        <v>100640.50768131501</v>
      </c>
      <c r="AE13" s="276">
        <v>107422.435618185</v>
      </c>
      <c r="AF13" s="276">
        <v>107283.04060108002</v>
      </c>
      <c r="AG13" s="276">
        <v>107631.83728035398</v>
      </c>
      <c r="AH13" s="276">
        <v>94702</v>
      </c>
      <c r="AI13" s="276">
        <v>91208.308530170005</v>
      </c>
      <c r="AJ13" s="276">
        <v>93651.303911692972</v>
      </c>
      <c r="AK13" s="276">
        <v>99527.555540770059</v>
      </c>
      <c r="AL13" s="276">
        <v>97781.824756006041</v>
      </c>
      <c r="AM13" s="276">
        <v>101237.95152684396</v>
      </c>
      <c r="AN13" s="276">
        <v>105322.67122239101</v>
      </c>
      <c r="AO13" s="276">
        <v>94823.569690662072</v>
      </c>
      <c r="AP13" s="276">
        <v>96577.001262405</v>
      </c>
      <c r="AQ13" s="276">
        <v>101198.37753556699</v>
      </c>
      <c r="AR13" s="276">
        <v>105929.22142050201</v>
      </c>
      <c r="AS13" s="276">
        <v>112501.76284353501</v>
      </c>
      <c r="AT13" s="276">
        <v>115115.04487290201</v>
      </c>
      <c r="AU13" s="276">
        <v>118292.96384493301</v>
      </c>
      <c r="AV13" s="276">
        <v>119204.95314087204</v>
      </c>
      <c r="AW13" s="276">
        <v>119406.42398266016</v>
      </c>
      <c r="AX13" s="276">
        <v>123291.52045032501</v>
      </c>
      <c r="AY13" s="276">
        <v>125342.31837440703</v>
      </c>
      <c r="AZ13" s="276">
        <v>130282.13171670292</v>
      </c>
      <c r="BA13" s="276">
        <v>134443.88545733303</v>
      </c>
      <c r="BB13" s="276">
        <v>136309</v>
      </c>
      <c r="BC13" s="276">
        <v>144271</v>
      </c>
      <c r="BD13" s="15"/>
      <c r="BE13" s="15"/>
      <c r="BF13" s="66"/>
      <c r="BG13" s="2"/>
    </row>
    <row r="14" spans="1:59">
      <c r="A14" s="2"/>
      <c r="B14" s="277"/>
      <c r="C14" s="277"/>
      <c r="D14" s="277"/>
      <c r="E14" s="277"/>
      <c r="F14" s="277"/>
      <c r="G14" s="277"/>
      <c r="H14" s="277"/>
      <c r="I14" s="277"/>
      <c r="J14" s="277"/>
      <c r="K14" s="277"/>
      <c r="L14" s="277"/>
      <c r="M14" s="277"/>
      <c r="N14" s="277"/>
      <c r="O14" s="277"/>
      <c r="P14" s="277"/>
      <c r="Q14" s="277"/>
      <c r="R14" s="277"/>
      <c r="S14" s="277"/>
      <c r="T14" s="277"/>
      <c r="U14" s="277"/>
      <c r="V14" s="277"/>
      <c r="W14" s="277"/>
      <c r="X14" s="277"/>
      <c r="Y14" s="277"/>
      <c r="Z14" s="277"/>
      <c r="AA14" s="277"/>
      <c r="AB14" s="277"/>
      <c r="AC14" s="277"/>
      <c r="AD14" s="277"/>
      <c r="AE14" s="277"/>
      <c r="AF14" s="277"/>
      <c r="AG14" s="277"/>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
      <c r="BE14" s="2"/>
      <c r="BF14" s="2"/>
      <c r="BG14" s="2"/>
    </row>
    <row r="15" spans="1:59">
      <c r="A15" s="2" t="s">
        <v>349</v>
      </c>
      <c r="B15" s="268"/>
      <c r="C15" s="268"/>
      <c r="D15" s="268"/>
      <c r="E15" s="268">
        <v>22042.383865999982</v>
      </c>
      <c r="F15" s="268">
        <v>23049.531133999997</v>
      </c>
      <c r="G15" s="268">
        <v>23369.358307000017</v>
      </c>
      <c r="H15" s="268">
        <v>23711.701279999957</v>
      </c>
      <c r="I15" s="268">
        <v>24429.478743000014</v>
      </c>
      <c r="J15" s="268">
        <v>21878.943864000001</v>
      </c>
      <c r="K15" s="268">
        <v>20635.384373000001</v>
      </c>
      <c r="L15" s="268">
        <v>20692.233429</v>
      </c>
      <c r="M15" s="268">
        <v>20953.136666999999</v>
      </c>
      <c r="N15" s="268">
        <v>21610.420213000001</v>
      </c>
      <c r="O15" s="268">
        <v>21315.233585999998</v>
      </c>
      <c r="P15" s="268">
        <v>20896.009263000004</v>
      </c>
      <c r="Q15" s="268">
        <v>21233.588286999995</v>
      </c>
      <c r="R15" s="268">
        <v>21908.748844000002</v>
      </c>
      <c r="S15" s="268">
        <v>22927.007244</v>
      </c>
      <c r="T15" s="268">
        <v>23053.100854000004</v>
      </c>
      <c r="U15" s="268">
        <v>24375.785041999989</v>
      </c>
      <c r="V15" s="268">
        <v>26256.545317</v>
      </c>
      <c r="W15" s="268">
        <v>25953.486641294989</v>
      </c>
      <c r="X15" s="268">
        <v>25500.270159892996</v>
      </c>
      <c r="Y15" s="268">
        <v>27325.553018878021</v>
      </c>
      <c r="Z15" s="268">
        <v>26321</v>
      </c>
      <c r="AA15" s="268">
        <v>25026</v>
      </c>
      <c r="AB15" s="269">
        <v>27565.575521857987</v>
      </c>
      <c r="AC15" s="269">
        <v>28308.956136055</v>
      </c>
      <c r="AD15" s="269">
        <v>29008.468118696994</v>
      </c>
      <c r="AE15" s="269">
        <v>29936.085639330009</v>
      </c>
      <c r="AF15" s="269">
        <v>31492.54182771</v>
      </c>
      <c r="AG15" s="269">
        <v>31337.520942670995</v>
      </c>
      <c r="AH15" s="269">
        <v>42482</v>
      </c>
      <c r="AI15" s="269">
        <v>42784.41306741201</v>
      </c>
      <c r="AJ15" s="269">
        <v>42884.134659820971</v>
      </c>
      <c r="AK15" s="269">
        <v>42194.676680132965</v>
      </c>
      <c r="AL15" s="269">
        <v>43410.470985665001</v>
      </c>
      <c r="AM15" s="269">
        <v>44847.192716678008</v>
      </c>
      <c r="AN15" s="269">
        <v>46408.492971511958</v>
      </c>
      <c r="AO15" s="269">
        <v>46819.096037249044</v>
      </c>
      <c r="AP15" s="269">
        <v>47935.819535399991</v>
      </c>
      <c r="AQ15" s="269">
        <v>51617.815415183024</v>
      </c>
      <c r="AR15" s="269">
        <v>53638.248905437969</v>
      </c>
      <c r="AS15" s="269">
        <v>54339.999562979967</v>
      </c>
      <c r="AT15" s="269">
        <v>55673.003731039003</v>
      </c>
      <c r="AU15" s="269">
        <v>56316.064247616021</v>
      </c>
      <c r="AV15" s="269">
        <v>56865.25444125598</v>
      </c>
      <c r="AW15" s="269">
        <v>57754.914601957957</v>
      </c>
      <c r="AX15" s="269">
        <v>59569.247184545995</v>
      </c>
      <c r="AY15" s="269">
        <v>61187.553238044995</v>
      </c>
      <c r="AZ15" s="269">
        <v>62726.204491486002</v>
      </c>
      <c r="BA15" s="269">
        <v>64551.609308091996</v>
      </c>
      <c r="BB15" s="269">
        <v>66689</v>
      </c>
      <c r="BC15" s="269">
        <v>70301</v>
      </c>
      <c r="BD15" s="2"/>
      <c r="BE15" s="2"/>
      <c r="BF15" s="2"/>
      <c r="BG15" s="2"/>
    </row>
    <row r="16" spans="1:59">
      <c r="A16" s="2" t="s">
        <v>350</v>
      </c>
      <c r="B16" s="273"/>
      <c r="C16" s="273"/>
      <c r="D16" s="273"/>
      <c r="E16" s="273">
        <v>2765.961337000007</v>
      </c>
      <c r="F16" s="273">
        <v>3001.3057689999987</v>
      </c>
      <c r="G16" s="273">
        <v>3175.6856500000013</v>
      </c>
      <c r="H16" s="273">
        <v>3315.2685649999994</v>
      </c>
      <c r="I16" s="273">
        <v>3333.5974810000007</v>
      </c>
      <c r="J16" s="273">
        <v>3183.9480979999998</v>
      </c>
      <c r="K16" s="273">
        <v>3232.7107649999998</v>
      </c>
      <c r="L16" s="273">
        <v>3180.9039750000006</v>
      </c>
      <c r="M16" s="273">
        <v>3166.6884050000003</v>
      </c>
      <c r="N16" s="273">
        <v>3285.5803679999999</v>
      </c>
      <c r="O16" s="273">
        <v>3298.5454570000002</v>
      </c>
      <c r="P16" s="273">
        <v>3848.5816370000007</v>
      </c>
      <c r="Q16" s="273">
        <v>4674.5515429999996</v>
      </c>
      <c r="R16" s="273">
        <v>5287.249331</v>
      </c>
      <c r="S16" s="273">
        <v>6644.5536720000009</v>
      </c>
      <c r="T16" s="273">
        <v>7681.632660000002</v>
      </c>
      <c r="U16" s="273">
        <v>9189.3331919999982</v>
      </c>
      <c r="V16" s="273">
        <v>10606.437329</v>
      </c>
      <c r="W16" s="273">
        <v>10997.730301476997</v>
      </c>
      <c r="X16" s="273">
        <v>12269.409494873003</v>
      </c>
      <c r="Y16" s="273">
        <v>12678.436554684007</v>
      </c>
      <c r="Z16" s="273">
        <v>13014</v>
      </c>
      <c r="AA16" s="273">
        <v>13073</v>
      </c>
      <c r="AB16" s="273">
        <v>13434.532829460002</v>
      </c>
      <c r="AC16" s="273">
        <v>13737.87128907901</v>
      </c>
      <c r="AD16" s="273">
        <v>14785.315340939</v>
      </c>
      <c r="AE16" s="273">
        <v>14822.589380737001</v>
      </c>
      <c r="AF16" s="273">
        <v>14758.320457100002</v>
      </c>
      <c r="AG16" s="273">
        <v>14901.555484198001</v>
      </c>
      <c r="AH16" s="273">
        <v>14444</v>
      </c>
      <c r="AI16" s="273">
        <v>15533.025462418</v>
      </c>
      <c r="AJ16" s="273">
        <v>15250.986607081</v>
      </c>
      <c r="AK16" s="273">
        <v>15118.098901679996</v>
      </c>
      <c r="AL16" s="273">
        <v>15119.166778999999</v>
      </c>
      <c r="AM16" s="273">
        <v>15240.776313000002</v>
      </c>
      <c r="AN16" s="273">
        <v>15226.275840999995</v>
      </c>
      <c r="AO16" s="273">
        <v>14948.175663000002</v>
      </c>
      <c r="AP16" s="273">
        <v>15457.042116000001</v>
      </c>
      <c r="AQ16" s="273">
        <v>16744.718853999999</v>
      </c>
      <c r="AR16" s="273">
        <v>17129.841404000006</v>
      </c>
      <c r="AS16" s="273">
        <v>16919.016691000004</v>
      </c>
      <c r="AT16" s="273">
        <v>17298.328477999999</v>
      </c>
      <c r="AU16" s="273">
        <v>17278.491566000001</v>
      </c>
      <c r="AV16" s="273">
        <v>18133.414003000002</v>
      </c>
      <c r="AW16" s="273">
        <v>17898.460971</v>
      </c>
      <c r="AX16" s="273">
        <v>18497.973129000002</v>
      </c>
      <c r="AY16" s="273">
        <v>19517.155632999998</v>
      </c>
      <c r="AZ16" s="273">
        <v>21063.094311999997</v>
      </c>
      <c r="BA16" s="273">
        <v>21427.113428000008</v>
      </c>
      <c r="BB16" s="273">
        <v>22697</v>
      </c>
      <c r="BC16" s="273">
        <v>23542</v>
      </c>
      <c r="BD16" s="2"/>
      <c r="BE16" s="2"/>
      <c r="BF16" s="2"/>
      <c r="BG16" s="2"/>
    </row>
    <row r="17" spans="1:59">
      <c r="A17" s="2" t="s">
        <v>351</v>
      </c>
      <c r="B17" s="268"/>
      <c r="C17" s="268"/>
      <c r="D17" s="268"/>
      <c r="E17" s="268">
        <v>24808.34520299999</v>
      </c>
      <c r="F17" s="268">
        <v>26050.836902999996</v>
      </c>
      <c r="G17" s="268">
        <v>26545.043957000016</v>
      </c>
      <c r="H17" s="268">
        <v>27026.969844999956</v>
      </c>
      <c r="I17" s="268">
        <v>27763.076224000015</v>
      </c>
      <c r="J17" s="268">
        <v>25062.891961999998</v>
      </c>
      <c r="K17" s="268">
        <v>23868.095138000001</v>
      </c>
      <c r="L17" s="268">
        <v>23872.737404</v>
      </c>
      <c r="M17" s="268">
        <v>24119.825072</v>
      </c>
      <c r="N17" s="268">
        <v>24896.000581</v>
      </c>
      <c r="O17" s="268">
        <v>24613.779042999999</v>
      </c>
      <c r="P17" s="268">
        <v>24744.590900000007</v>
      </c>
      <c r="Q17" s="268">
        <v>25908.139829999996</v>
      </c>
      <c r="R17" s="268">
        <v>27195.998175000001</v>
      </c>
      <c r="S17" s="268">
        <v>29571.560916000002</v>
      </c>
      <c r="T17" s="268">
        <v>30734.733514000007</v>
      </c>
      <c r="U17" s="268">
        <v>33565.118233999987</v>
      </c>
      <c r="V17" s="268">
        <v>36862.982646000004</v>
      </c>
      <c r="W17" s="268">
        <v>36951.216942771985</v>
      </c>
      <c r="X17" s="268">
        <v>37769.679654765998</v>
      </c>
      <c r="Y17" s="268">
        <v>40003.98957356203</v>
      </c>
      <c r="Z17" s="268">
        <v>39335</v>
      </c>
      <c r="AA17" s="268">
        <f>AA15+AA16</f>
        <v>38099</v>
      </c>
      <c r="AB17" s="269">
        <f>AB15+AB16</f>
        <v>41000.108351317991</v>
      </c>
      <c r="AC17" s="269">
        <v>42046.827425134012</v>
      </c>
      <c r="AD17" s="269">
        <v>43793.78345963599</v>
      </c>
      <c r="AE17" s="269">
        <v>44758.675020067007</v>
      </c>
      <c r="AF17" s="269">
        <v>46250.862284810006</v>
      </c>
      <c r="AG17" s="269">
        <v>46239.076426868996</v>
      </c>
      <c r="AH17" s="269">
        <f>AH15+AH16</f>
        <v>56926</v>
      </c>
      <c r="AI17" s="269">
        <v>58317.438529830011</v>
      </c>
      <c r="AJ17" s="269">
        <v>58135.121266901973</v>
      </c>
      <c r="AK17" s="269">
        <v>57312.775581812959</v>
      </c>
      <c r="AL17" s="269">
        <v>58529.637764665</v>
      </c>
      <c r="AM17" s="269">
        <v>60087.96902967801</v>
      </c>
      <c r="AN17" s="269">
        <v>61634.768812511953</v>
      </c>
      <c r="AO17" s="269">
        <v>61767.271700249046</v>
      </c>
      <c r="AP17" s="269">
        <v>63392.861651399988</v>
      </c>
      <c r="AQ17" s="269">
        <v>68362.53426918303</v>
      </c>
      <c r="AR17" s="269">
        <v>70768.090309437976</v>
      </c>
      <c r="AS17" s="269">
        <v>71259.016253979979</v>
      </c>
      <c r="AT17" s="269">
        <v>72971.332209038999</v>
      </c>
      <c r="AU17" s="269">
        <v>73594.555813616025</v>
      </c>
      <c r="AV17" s="269">
        <v>74998.668444255993</v>
      </c>
      <c r="AW17" s="269">
        <v>75653.375572957957</v>
      </c>
      <c r="AX17" s="269">
        <v>78067.220313546</v>
      </c>
      <c r="AY17" s="269">
        <v>80704.708871045004</v>
      </c>
      <c r="AZ17" s="269">
        <v>83789.298803486003</v>
      </c>
      <c r="BA17" s="269">
        <v>85978.722736092008</v>
      </c>
      <c r="BB17" s="269">
        <v>89386</v>
      </c>
      <c r="BC17" s="269">
        <v>93843</v>
      </c>
      <c r="BD17" s="2"/>
      <c r="BE17" s="2"/>
      <c r="BF17" s="2"/>
      <c r="BG17" s="2"/>
    </row>
    <row r="18" spans="1:59">
      <c r="A18" s="2"/>
      <c r="B18" s="85"/>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2"/>
      <c r="BE18" s="2"/>
      <c r="BF18" s="2"/>
      <c r="BG18" s="2"/>
    </row>
    <row r="19" spans="1:59">
      <c r="A19" s="2"/>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2"/>
      <c r="BE19" s="2"/>
      <c r="BF19" s="2"/>
      <c r="BG19" s="2"/>
    </row>
    <row r="20" spans="1:59" s="27" customFormat="1">
      <c r="A20" s="510" t="s">
        <v>414</v>
      </c>
      <c r="B20" s="511" t="str">
        <f>B1</f>
        <v>Q1 12</v>
      </c>
      <c r="C20" s="511" t="str">
        <f t="shared" ref="C20:Y20" si="0">C1</f>
        <v>Q2 12</v>
      </c>
      <c r="D20" s="511" t="str">
        <f t="shared" si="0"/>
        <v>Q3 12</v>
      </c>
      <c r="E20" s="511" t="str">
        <f t="shared" si="0"/>
        <v>4Q12</v>
      </c>
      <c r="F20" s="511" t="str">
        <f t="shared" si="0"/>
        <v>1Q13</v>
      </c>
      <c r="G20" s="511" t="str">
        <f t="shared" si="0"/>
        <v>2Q13</v>
      </c>
      <c r="H20" s="511" t="str">
        <f t="shared" si="0"/>
        <v>3Q13</v>
      </c>
      <c r="I20" s="511" t="str">
        <f t="shared" si="0"/>
        <v>4Q13</v>
      </c>
      <c r="J20" s="511" t="str">
        <f t="shared" si="0"/>
        <v>1Q14</v>
      </c>
      <c r="K20" s="511" t="str">
        <f t="shared" si="0"/>
        <v>2Q14</v>
      </c>
      <c r="L20" s="511" t="str">
        <f t="shared" si="0"/>
        <v>3Q14</v>
      </c>
      <c r="M20" s="511" t="str">
        <f t="shared" si="0"/>
        <v>4Q14</v>
      </c>
      <c r="N20" s="511" t="str">
        <f t="shared" si="0"/>
        <v>1Q15</v>
      </c>
      <c r="O20" s="511" t="str">
        <f t="shared" si="0"/>
        <v>2Q15</v>
      </c>
      <c r="P20" s="511" t="str">
        <f t="shared" si="0"/>
        <v>3Q15</v>
      </c>
      <c r="Q20" s="511" t="str">
        <f t="shared" si="0"/>
        <v>4Q15</v>
      </c>
      <c r="R20" s="511" t="str">
        <f t="shared" si="0"/>
        <v>1Q16</v>
      </c>
      <c r="S20" s="511" t="str">
        <f t="shared" si="0"/>
        <v>2Q16</v>
      </c>
      <c r="T20" s="511" t="str">
        <f t="shared" si="0"/>
        <v>3Q16</v>
      </c>
      <c r="U20" s="511" t="str">
        <f t="shared" si="0"/>
        <v>4Q16</v>
      </c>
      <c r="V20" s="511" t="str">
        <f t="shared" si="0"/>
        <v>1Q17</v>
      </c>
      <c r="W20" s="511" t="str">
        <f t="shared" si="0"/>
        <v>2Q17</v>
      </c>
      <c r="X20" s="511" t="str">
        <f t="shared" si="0"/>
        <v>3Q17</v>
      </c>
      <c r="Y20" s="511" t="str">
        <f t="shared" si="0"/>
        <v>4Q17</v>
      </c>
      <c r="Z20" s="511" t="str">
        <f>Z1</f>
        <v>1Q18</v>
      </c>
      <c r="AA20" s="511" t="str">
        <f>AA1</f>
        <v>2Q18</v>
      </c>
      <c r="AB20" s="511" t="str">
        <f>AB1</f>
        <v>3Q18</v>
      </c>
      <c r="AC20" s="511" t="s">
        <v>585</v>
      </c>
      <c r="AD20" s="511" t="str">
        <f t="shared" ref="AD20:AI20" si="1">AD1</f>
        <v>1Q19</v>
      </c>
      <c r="AE20" s="511" t="str">
        <f t="shared" si="1"/>
        <v>2Q19</v>
      </c>
      <c r="AF20" s="511" t="str">
        <f t="shared" si="1"/>
        <v>3Q19</v>
      </c>
      <c r="AG20" s="511" t="str">
        <f t="shared" si="1"/>
        <v>4Q19</v>
      </c>
      <c r="AH20" s="511" t="str">
        <f t="shared" si="1"/>
        <v>1Q20</v>
      </c>
      <c r="AI20" s="511" t="str">
        <f t="shared" si="1"/>
        <v>2Q20</v>
      </c>
      <c r="AJ20" s="511" t="str">
        <f t="shared" ref="AJ20:AK20" si="2">AJ1</f>
        <v>3Q20</v>
      </c>
      <c r="AK20" s="511" t="str">
        <f t="shared" si="2"/>
        <v>4Q20</v>
      </c>
      <c r="AL20" s="511" t="str">
        <f t="shared" ref="AL20:AN20" si="3">AL1</f>
        <v>1Q21</v>
      </c>
      <c r="AM20" s="511" t="str">
        <f t="shared" si="3"/>
        <v>2Q21</v>
      </c>
      <c r="AN20" s="511" t="str">
        <f t="shared" si="3"/>
        <v>3Q21</v>
      </c>
      <c r="AO20" s="511" t="str">
        <f t="shared" ref="AO20:AP20" si="4">AO1</f>
        <v>4Q21</v>
      </c>
      <c r="AP20" s="511" t="str">
        <f t="shared" si="4"/>
        <v>1Q22</v>
      </c>
      <c r="AQ20" s="511" t="str">
        <f t="shared" ref="AQ20:AR20" si="5">AQ1</f>
        <v>2Q22</v>
      </c>
      <c r="AR20" s="511" t="str">
        <f t="shared" si="5"/>
        <v>3Q22</v>
      </c>
      <c r="AS20" s="511" t="str">
        <f t="shared" ref="AS20:AT20" si="6">AS1</f>
        <v>4Q22</v>
      </c>
      <c r="AT20" s="511" t="str">
        <f t="shared" si="6"/>
        <v>1Q23</v>
      </c>
      <c r="AU20" s="511" t="str">
        <f t="shared" ref="AU20:AV20" si="7">AU1</f>
        <v>2Q23</v>
      </c>
      <c r="AV20" s="511" t="str">
        <f t="shared" si="7"/>
        <v>3Q23</v>
      </c>
      <c r="AW20" s="511" t="str">
        <f t="shared" ref="AW20:AY20" si="8">AW1</f>
        <v>4Q23</v>
      </c>
      <c r="AX20" s="511" t="str">
        <f t="shared" si="8"/>
        <v>1Q24</v>
      </c>
      <c r="AY20" s="511" t="str">
        <f t="shared" si="8"/>
        <v>2Q24</v>
      </c>
      <c r="AZ20" s="511" t="str">
        <f t="shared" ref="AZ20:BA20" si="9">AZ1</f>
        <v>3Q24</v>
      </c>
      <c r="BA20" s="511" t="str">
        <f t="shared" si="9"/>
        <v>4Q24</v>
      </c>
      <c r="BB20" s="511" t="str">
        <f t="shared" ref="BB20:BC20" si="10">BB1</f>
        <v>1Q25</v>
      </c>
      <c r="BC20" s="511" t="str">
        <f t="shared" si="10"/>
        <v>2Q25</v>
      </c>
      <c r="BD20" s="510"/>
      <c r="BE20" s="510" t="s">
        <v>209</v>
      </c>
      <c r="BF20" s="176"/>
      <c r="BG20" s="176"/>
    </row>
    <row r="21" spans="1:59" s="27" customFormat="1">
      <c r="A21" s="510"/>
      <c r="B21" s="511"/>
      <c r="C21" s="511"/>
      <c r="D21" s="511"/>
      <c r="E21" s="511"/>
      <c r="F21" s="511"/>
      <c r="G21" s="511"/>
      <c r="H21" s="511"/>
      <c r="I21" s="511"/>
      <c r="J21" s="511"/>
      <c r="K21" s="511"/>
      <c r="L21" s="511"/>
      <c r="M21" s="511"/>
      <c r="N21" s="511"/>
      <c r="O21" s="511"/>
      <c r="P21" s="511"/>
      <c r="Q21" s="511"/>
      <c r="R21" s="511"/>
      <c r="S21" s="511"/>
      <c r="T21" s="511"/>
      <c r="U21" s="511"/>
      <c r="V21" s="511"/>
      <c r="W21" s="511"/>
      <c r="X21" s="511"/>
      <c r="Y21" s="511"/>
      <c r="Z21" s="511"/>
      <c r="AA21" s="511"/>
      <c r="AB21" s="511"/>
      <c r="AC21" s="511"/>
      <c r="AD21" s="511"/>
      <c r="AE21" s="526"/>
      <c r="AF21" s="526"/>
      <c r="AG21" s="526"/>
      <c r="AH21" s="526"/>
      <c r="AI21" s="526"/>
      <c r="AJ21" s="526"/>
      <c r="AK21" s="526"/>
      <c r="AL21" s="526"/>
      <c r="AM21" s="526"/>
      <c r="AN21" s="526"/>
      <c r="AO21" s="526"/>
      <c r="AP21" s="526"/>
      <c r="AQ21" s="526"/>
      <c r="AR21" s="526"/>
      <c r="AS21" s="526"/>
      <c r="AT21" s="526"/>
      <c r="AU21" s="526"/>
      <c r="AV21" s="526"/>
      <c r="AW21" s="526"/>
      <c r="AX21" s="526"/>
      <c r="AY21" s="526"/>
      <c r="AZ21" s="526"/>
      <c r="BA21" s="526"/>
      <c r="BB21" s="526"/>
      <c r="BC21" s="526"/>
      <c r="BD21" s="510"/>
      <c r="BE21" s="510"/>
      <c r="BF21" s="176"/>
      <c r="BG21" s="176"/>
    </row>
    <row r="22" spans="1:59">
      <c r="A22" s="2"/>
      <c r="B22" s="85"/>
      <c r="C22" s="85"/>
      <c r="D22" s="85"/>
      <c r="E22" s="85"/>
      <c r="F22" s="85"/>
      <c r="G22" s="85"/>
      <c r="H22" s="85"/>
      <c r="I22" s="85"/>
      <c r="J22" s="85"/>
      <c r="K22" s="85"/>
      <c r="L22" s="85"/>
      <c r="M22" s="85"/>
      <c r="N22" s="85"/>
      <c r="O22" s="85"/>
      <c r="P22" s="85"/>
      <c r="Q22" s="85"/>
      <c r="R22" s="85"/>
      <c r="S22" s="85"/>
      <c r="T22" s="85"/>
      <c r="U22" s="85"/>
      <c r="V22" s="85"/>
      <c r="W22" s="85"/>
      <c r="X22" s="85"/>
      <c r="Y22" s="85"/>
      <c r="Z22" s="85"/>
      <c r="AA22" s="85"/>
      <c r="AB22" s="85"/>
      <c r="AC22" s="85"/>
      <c r="AD22" s="85"/>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2"/>
      <c r="BE22" s="2"/>
      <c r="BF22" s="2"/>
      <c r="BG22" s="2"/>
    </row>
    <row r="23" spans="1:59">
      <c r="A23" s="13" t="s">
        <v>203</v>
      </c>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2"/>
      <c r="BE23" s="2"/>
      <c r="BF23" s="2"/>
      <c r="BG23" s="2"/>
    </row>
    <row r="24" spans="1:59">
      <c r="A24" s="54" t="s">
        <v>196</v>
      </c>
      <c r="B24" s="114">
        <f t="shared" ref="B24:X24" si="11">B7/B$5</f>
        <v>0.1142444618621344</v>
      </c>
      <c r="C24" s="114">
        <f t="shared" si="11"/>
        <v>0.12008359938123292</v>
      </c>
      <c r="D24" s="114">
        <f t="shared" si="11"/>
        <v>0.12189532117367169</v>
      </c>
      <c r="E24" s="114">
        <f t="shared" si="11"/>
        <v>0.12183372504652806</v>
      </c>
      <c r="F24" s="114">
        <f t="shared" si="11"/>
        <v>0.13009838405297861</v>
      </c>
      <c r="G24" s="114">
        <f t="shared" si="11"/>
        <v>0.14722765604970939</v>
      </c>
      <c r="H24" s="114">
        <f t="shared" si="11"/>
        <v>0.14528448070592542</v>
      </c>
      <c r="I24" s="114">
        <f t="shared" si="11"/>
        <v>0.13350682461370936</v>
      </c>
      <c r="J24" s="114">
        <f t="shared" si="11"/>
        <v>0.13252560517308073</v>
      </c>
      <c r="K24" s="114">
        <f t="shared" si="11"/>
        <v>0.12245651464582723</v>
      </c>
      <c r="L24" s="114">
        <f t="shared" si="11"/>
        <v>0.11909161849496938</v>
      </c>
      <c r="M24" s="114">
        <f t="shared" si="11"/>
        <v>0.12019782123334388</v>
      </c>
      <c r="N24" s="114">
        <f t="shared" si="11"/>
        <v>0.1171004656922013</v>
      </c>
      <c r="O24" s="114">
        <f t="shared" si="11"/>
        <v>0.12281509386566729</v>
      </c>
      <c r="P24" s="114">
        <f t="shared" si="11"/>
        <v>0.1234260121466926</v>
      </c>
      <c r="Q24" s="114">
        <f t="shared" si="11"/>
        <v>0.11824221758021879</v>
      </c>
      <c r="R24" s="114">
        <f t="shared" si="11"/>
        <v>0.11174682701236026</v>
      </c>
      <c r="S24" s="114">
        <f t="shared" si="11"/>
        <v>0.11831063295049134</v>
      </c>
      <c r="T24" s="114">
        <f t="shared" si="11"/>
        <v>0.11071292104880347</v>
      </c>
      <c r="U24" s="114">
        <f t="shared" si="11"/>
        <v>0.10271637465751303</v>
      </c>
      <c r="V24" s="114">
        <f t="shared" si="11"/>
        <v>0.10278551085837793</v>
      </c>
      <c r="W24" s="114">
        <f t="shared" si="11"/>
        <v>0.11626520055699228</v>
      </c>
      <c r="X24" s="115">
        <f t="shared" si="11"/>
        <v>0.10334099436183029</v>
      </c>
      <c r="Y24" s="115">
        <f t="shared" ref="Y24:Z24" si="12">Y7/Y$5</f>
        <v>0.104335622852694</v>
      </c>
      <c r="Z24" s="115">
        <f t="shared" si="12"/>
        <v>0.11767121541994637</v>
      </c>
      <c r="AA24" s="115">
        <f t="shared" ref="AA24:AB24" si="13">AA7/AA$5</f>
        <v>0.12794070835260271</v>
      </c>
      <c r="AB24" s="115">
        <f t="shared" si="13"/>
        <v>0.10032720786131191</v>
      </c>
      <c r="AC24" s="115">
        <f t="shared" ref="AC24:AD24" si="14">AC7/AC$5</f>
        <v>0.11375765249494464</v>
      </c>
      <c r="AD24" s="115">
        <f t="shared" si="14"/>
        <v>0.11767113780064142</v>
      </c>
      <c r="AE24" s="115">
        <f t="shared" ref="AE24:AF24" si="15">AE7/AE$5</f>
        <v>0.1284843412198089</v>
      </c>
      <c r="AF24" s="116">
        <f t="shared" si="15"/>
        <v>0.1376387918901695</v>
      </c>
      <c r="AG24" s="116">
        <f t="shared" ref="AG24:AH24" si="16">AG7/AG$5</f>
        <v>0.13422752747839725</v>
      </c>
      <c r="AH24" s="116">
        <f t="shared" si="16"/>
        <v>0.13980588676401792</v>
      </c>
      <c r="AI24" s="116">
        <f t="shared" ref="AI24:AJ24" si="17">AI7/AI$5</f>
        <v>0.13996811554182909</v>
      </c>
      <c r="AJ24" s="116">
        <f t="shared" si="17"/>
        <v>0.13940372387368605</v>
      </c>
      <c r="AK24" s="116">
        <f t="shared" ref="AK24:AL24" si="18">AK7/AK$5</f>
        <v>0.13188835140400854</v>
      </c>
      <c r="AL24" s="116">
        <f t="shared" si="18"/>
        <v>0.13081409710786338</v>
      </c>
      <c r="AM24" s="116">
        <f t="shared" ref="AM24:AO24" si="19">AM7/AM$5</f>
        <v>0.1279373843869136</v>
      </c>
      <c r="AN24" s="116">
        <f t="shared" ref="AN24" si="20">AN7/AN$5</f>
        <v>0.12572080501228775</v>
      </c>
      <c r="AO24" s="116">
        <f t="shared" si="19"/>
        <v>5.8532705450642826E-2</v>
      </c>
      <c r="AP24" s="116">
        <f t="shared" ref="AP24:AQ24" si="21">AP7/AP$5</f>
        <v>5.4248678977373635E-2</v>
      </c>
      <c r="AQ24" s="116">
        <f t="shared" si="21"/>
        <v>5.3771205119827192E-2</v>
      </c>
      <c r="AR24" s="116">
        <f t="shared" ref="AR24:AS24" si="22">AR7/AR$5</f>
        <v>5.2945998577713524E-2</v>
      </c>
      <c r="AS24" s="116">
        <f t="shared" si="22"/>
        <v>4.9951470536450736E-2</v>
      </c>
      <c r="AT24" s="116">
        <f t="shared" ref="AT24:AU24" si="23">AT7/AT$5</f>
        <v>5.2254468430866383E-2</v>
      </c>
      <c r="AU24" s="116">
        <f t="shared" si="23"/>
        <v>5.4287854912392332E-2</v>
      </c>
      <c r="AV24" s="116">
        <f t="shared" ref="AV24:AW24" si="24">AV7/AV$5</f>
        <v>5.2177992927592738E-2</v>
      </c>
      <c r="AW24" s="116">
        <f t="shared" si="24"/>
        <v>5.0181000762767901E-2</v>
      </c>
      <c r="AX24" s="116">
        <f t="shared" ref="AX24" si="25">AX7/AX$5</f>
        <v>5.288423737536195E-2</v>
      </c>
      <c r="AY24" s="116">
        <f t="shared" ref="AY24:AZ24" si="26">AY7/AY$5</f>
        <v>5.0988969029164603E-2</v>
      </c>
      <c r="AZ24" s="116">
        <f t="shared" si="26"/>
        <v>5.1228483558749288E-2</v>
      </c>
      <c r="BA24" s="116">
        <f t="shared" ref="BA24" si="27">BA7/BA$5</f>
        <v>5.226797394628984E-2</v>
      </c>
      <c r="BB24" s="116">
        <f>BB7/BB$5</f>
        <v>5.3111247032974609E-2</v>
      </c>
      <c r="BC24" s="116">
        <f>BC7/BC$5</f>
        <v>4.6467156009338102E-2</v>
      </c>
      <c r="BD24" s="2"/>
      <c r="BE24" s="2"/>
      <c r="BF24" s="2"/>
      <c r="BG24" s="2"/>
    </row>
    <row r="25" spans="1:59">
      <c r="A25" s="54" t="s">
        <v>197</v>
      </c>
      <c r="B25" s="114">
        <f t="shared" ref="B25:X25" si="28">B8/B$5</f>
        <v>0.10746256342560126</v>
      </c>
      <c r="C25" s="114">
        <f t="shared" si="28"/>
        <v>0.10324029885133133</v>
      </c>
      <c r="D25" s="114">
        <f t="shared" si="28"/>
        <v>0.10603489294210944</v>
      </c>
      <c r="E25" s="114">
        <f t="shared" si="28"/>
        <v>0.10717802695091837</v>
      </c>
      <c r="F25" s="114">
        <f t="shared" si="28"/>
        <v>0.10697286790268631</v>
      </c>
      <c r="G25" s="114">
        <f t="shared" si="28"/>
        <v>9.9474775183277325E-2</v>
      </c>
      <c r="H25" s="114">
        <f t="shared" si="28"/>
        <v>9.98525383141428E-2</v>
      </c>
      <c r="I25" s="114">
        <f t="shared" si="28"/>
        <v>0.10067250358590758</v>
      </c>
      <c r="J25" s="114">
        <f t="shared" si="28"/>
        <v>0.10258081428579302</v>
      </c>
      <c r="K25" s="114">
        <f t="shared" si="28"/>
        <v>0.10435664285228201</v>
      </c>
      <c r="L25" s="114">
        <f t="shared" si="28"/>
        <v>0.10373608192527226</v>
      </c>
      <c r="M25" s="114">
        <f t="shared" si="28"/>
        <v>0.10403269989792194</v>
      </c>
      <c r="N25" s="114">
        <f t="shared" si="28"/>
        <v>0.1103799497830837</v>
      </c>
      <c r="O25" s="114">
        <f t="shared" si="28"/>
        <v>0.10770962710787166</v>
      </c>
      <c r="P25" s="114">
        <f t="shared" si="28"/>
        <v>0.10758617918337883</v>
      </c>
      <c r="Q25" s="114">
        <f t="shared" si="28"/>
        <v>0.10559889233499466</v>
      </c>
      <c r="R25" s="114">
        <f t="shared" si="28"/>
        <v>0.10974227157303187</v>
      </c>
      <c r="S25" s="114">
        <f t="shared" si="28"/>
        <v>0.10959668121513984</v>
      </c>
      <c r="T25" s="114">
        <f t="shared" si="28"/>
        <v>0.10865725840851385</v>
      </c>
      <c r="U25" s="114">
        <f t="shared" si="28"/>
        <v>0.11326026412641475</v>
      </c>
      <c r="V25" s="114">
        <f t="shared" si="28"/>
        <v>0.11112852794565686</v>
      </c>
      <c r="W25" s="114">
        <f t="shared" si="28"/>
        <v>0.10738465082760655</v>
      </c>
      <c r="X25" s="115">
        <f t="shared" si="28"/>
        <v>0.10432335342034499</v>
      </c>
      <c r="Y25" s="115">
        <f t="shared" ref="Y25:Z25" si="29">Y8/Y$5</f>
        <v>0.10317217886566238</v>
      </c>
      <c r="Z25" s="115">
        <f t="shared" si="29"/>
        <v>0.10137067794683682</v>
      </c>
      <c r="AA25" s="115">
        <f t="shared" ref="AA25:AB25" si="30">AA8/AA$5</f>
        <v>9.9898497888876212E-2</v>
      </c>
      <c r="AB25" s="115">
        <f t="shared" si="30"/>
        <v>9.6429484811576621E-2</v>
      </c>
      <c r="AC25" s="115">
        <f t="shared" ref="AC25:AD25" si="31">AC8/AC$5</f>
        <v>9.7515979273719938E-2</v>
      </c>
      <c r="AD25" s="115">
        <f t="shared" si="31"/>
        <v>9.1812138514286296E-2</v>
      </c>
      <c r="AE25" s="115">
        <f t="shared" ref="AE25:AF25" si="32">AE8/AE$5</f>
        <v>9.4093771024626446E-2</v>
      </c>
      <c r="AF25" s="116">
        <f t="shared" si="32"/>
        <v>9.4335085958314316E-2</v>
      </c>
      <c r="AG25" s="116">
        <f t="shared" ref="AG25:AH25" si="33">AG8/AG$5</f>
        <v>9.2079746054697348E-2</v>
      </c>
      <c r="AH25" s="116">
        <f t="shared" si="33"/>
        <v>9.48701374986443E-2</v>
      </c>
      <c r="AI25" s="116">
        <f t="shared" ref="AI25:AJ25" si="34">AI8/AI$5</f>
        <v>8.467568317846691E-2</v>
      </c>
      <c r="AJ25" s="116">
        <f t="shared" si="34"/>
        <v>9.0766690696536173E-2</v>
      </c>
      <c r="AK25" s="116">
        <f t="shared" ref="AK25:AL25" si="35">AK8/AK$5</f>
        <v>9.3409403610123093E-2</v>
      </c>
      <c r="AL25" s="116">
        <f t="shared" si="35"/>
        <v>9.18714798858523E-2</v>
      </c>
      <c r="AM25" s="116">
        <f t="shared" ref="AM25:AO25" si="36">AM8/AM$5</f>
        <v>9.5361787623508137E-2</v>
      </c>
      <c r="AN25" s="116">
        <f t="shared" ref="AN25" si="37">AN8/AN$5</f>
        <v>9.6066765569389825E-2</v>
      </c>
      <c r="AO25" s="116">
        <f t="shared" si="36"/>
        <v>0.10223894349226301</v>
      </c>
      <c r="AP25" s="116">
        <f t="shared" ref="AP25:AQ25" si="38">AP8/AP$5</f>
        <v>0.1091429573876239</v>
      </c>
      <c r="AQ25" s="116">
        <f t="shared" si="38"/>
        <v>0.1081139182305228</v>
      </c>
      <c r="AR25" s="116">
        <f t="shared" ref="AR25:AS25" si="39">AR8/AR$5</f>
        <v>0.10536710215009004</v>
      </c>
      <c r="AS25" s="116">
        <f t="shared" si="39"/>
        <v>0.10955773751726218</v>
      </c>
      <c r="AT25" s="116">
        <f t="shared" ref="AT25:AU25" si="40">AT8/AT$5</f>
        <v>0.11113245472282476</v>
      </c>
      <c r="AU25" s="116">
        <f t="shared" si="40"/>
        <v>9.8146002019200707E-2</v>
      </c>
      <c r="AV25" s="116">
        <f t="shared" ref="AV25:AW25" si="41">AV8/AV$5</f>
        <v>8.8776743911647263E-2</v>
      </c>
      <c r="AW25" s="116">
        <f t="shared" si="41"/>
        <v>8.8108435944342228E-2</v>
      </c>
      <c r="AX25" s="116">
        <f t="shared" ref="AX25" si="42">AX8/AX$5</f>
        <v>8.7759187559441232E-2</v>
      </c>
      <c r="AY25" s="116">
        <f t="shared" ref="AY25:AZ25" si="43">AY8/AY$5</f>
        <v>8.7721159921342662E-2</v>
      </c>
      <c r="AZ25" s="116">
        <f t="shared" si="43"/>
        <v>8.6988107354576155E-2</v>
      </c>
      <c r="BA25" s="116">
        <f t="shared" ref="BA25:BB25" si="44">BA8/BA$5</f>
        <v>8.7483304928307762E-2</v>
      </c>
      <c r="BB25" s="116">
        <f t="shared" si="44"/>
        <v>8.703385029341873E-2</v>
      </c>
      <c r="BC25" s="116">
        <f t="shared" ref="BC25" si="45">BC8/BC$5</f>
        <v>8.9336144147010854E-2</v>
      </c>
      <c r="BD25" s="2"/>
      <c r="BE25" s="2"/>
      <c r="BF25" s="2"/>
      <c r="BG25" s="2"/>
    </row>
    <row r="26" spans="1:59">
      <c r="A26" s="54" t="s">
        <v>204</v>
      </c>
      <c r="B26" s="114">
        <f t="shared" ref="B26:X26" si="46">B9/B$5</f>
        <v>0.11905449445154903</v>
      </c>
      <c r="C26" s="114">
        <f t="shared" si="46"/>
        <v>0.11893986768916828</v>
      </c>
      <c r="D26" s="114">
        <f t="shared" si="46"/>
        <v>0.10628865979381444</v>
      </c>
      <c r="E26" s="114">
        <f t="shared" si="46"/>
        <v>0.11861737670719542</v>
      </c>
      <c r="F26" s="114">
        <f t="shared" si="46"/>
        <v>0.21576615668978522</v>
      </c>
      <c r="G26" s="114">
        <f t="shared" si="46"/>
        <v>0.22852273561353387</v>
      </c>
      <c r="H26" s="114">
        <f t="shared" si="46"/>
        <v>0.24162744589527926</v>
      </c>
      <c r="I26" s="114">
        <f t="shared" si="46"/>
        <v>0.24754602740295267</v>
      </c>
      <c r="J26" s="114">
        <f t="shared" si="46"/>
        <v>0.23678194301834743</v>
      </c>
      <c r="K26" s="114">
        <f t="shared" si="46"/>
        <v>0.24311543928476129</v>
      </c>
      <c r="L26" s="114">
        <f t="shared" si="46"/>
        <v>0.24631741157969908</v>
      </c>
      <c r="M26" s="114">
        <f t="shared" si="46"/>
        <v>0.2349243706300834</v>
      </c>
      <c r="N26" s="114">
        <f t="shared" si="46"/>
        <v>0.22707481330806806</v>
      </c>
      <c r="O26" s="114">
        <f t="shared" si="46"/>
        <v>0.23054959617610429</v>
      </c>
      <c r="P26" s="114">
        <f t="shared" si="46"/>
        <v>0.22845796530388937</v>
      </c>
      <c r="Q26" s="114">
        <f t="shared" si="46"/>
        <v>0.20706393625725511</v>
      </c>
      <c r="R26" s="133">
        <f t="shared" si="46"/>
        <v>0.21244289967970506</v>
      </c>
      <c r="S26" s="134">
        <f t="shared" si="46"/>
        <v>0.21959959392943262</v>
      </c>
      <c r="T26" s="134">
        <f t="shared" si="46"/>
        <v>0.22129630719150647</v>
      </c>
      <c r="U26" s="134">
        <f t="shared" si="46"/>
        <v>0.19819621126732037</v>
      </c>
      <c r="V26" s="134">
        <f t="shared" si="46"/>
        <v>0.19935071179056049</v>
      </c>
      <c r="W26" s="134">
        <f t="shared" si="46"/>
        <v>0.19884883934698186</v>
      </c>
      <c r="X26" s="134">
        <f t="shared" si="46"/>
        <v>0.22006196786678575</v>
      </c>
      <c r="Y26" s="134">
        <f t="shared" ref="Y26:Z26" si="47">Y9/Y$5</f>
        <v>0.23237896337931557</v>
      </c>
      <c r="Z26" s="134">
        <f t="shared" si="47"/>
        <v>0.2278493887290356</v>
      </c>
      <c r="AA26" s="134">
        <f t="shared" ref="AA26:AB26" si="48">AA9/AA$5</f>
        <v>0.23156295233004404</v>
      </c>
      <c r="AB26" s="134">
        <f t="shared" si="48"/>
        <v>0.23884152165538103</v>
      </c>
      <c r="AC26" s="134">
        <f t="shared" ref="AC26:AD26" si="49">AC9/AC$5</f>
        <v>0.25146712531329185</v>
      </c>
      <c r="AD26" s="134">
        <f t="shared" si="49"/>
        <v>0.26245260124876346</v>
      </c>
      <c r="AE26" s="134">
        <f t="shared" ref="AE26:AF26" si="50">AE9/AE$5</f>
        <v>0.28773478723638041</v>
      </c>
      <c r="AF26" s="135">
        <f t="shared" si="50"/>
        <v>0.29992255896926162</v>
      </c>
      <c r="AG26" s="135">
        <f t="shared" ref="AG26:AH26" si="51">AG9/AG$5</f>
        <v>0.30605028200766871</v>
      </c>
      <c r="AH26" s="135">
        <f t="shared" si="51"/>
        <v>0.23853713160587528</v>
      </c>
      <c r="AI26" s="135">
        <f t="shared" ref="AI26:AJ26" si="52">AI9/AI$5</f>
        <v>0.24682724986665941</v>
      </c>
      <c r="AJ26" s="135">
        <f t="shared" si="52"/>
        <v>0.23822429517647967</v>
      </c>
      <c r="AK26" s="135">
        <f t="shared" ref="AK26:AL26" si="53">AK9/AK$5</f>
        <v>0.23107150217851488</v>
      </c>
      <c r="AL26" s="135">
        <f t="shared" si="53"/>
        <v>0.22135949949230327</v>
      </c>
      <c r="AM26" s="135">
        <f t="shared" ref="AM26:AO26" si="54">AM9/AM$5</f>
        <v>0.22139704025558166</v>
      </c>
      <c r="AN26" s="135">
        <f t="shared" ref="AN26" si="55">AN9/AN$5</f>
        <v>0.21369846948921356</v>
      </c>
      <c r="AO26" s="135">
        <f t="shared" si="54"/>
        <v>0.23726931121627809</v>
      </c>
      <c r="AP26" s="135">
        <f t="shared" ref="AP26:AQ26" si="56">AP9/AP$5</f>
        <v>0.2224086420155153</v>
      </c>
      <c r="AQ26" s="135">
        <f t="shared" si="56"/>
        <v>0.22569503602139415</v>
      </c>
      <c r="AR26" s="135">
        <f t="shared" ref="AR26:AS26" si="57">AR9/AR$5</f>
        <v>0.22850053184580982</v>
      </c>
      <c r="AS26" s="135">
        <f t="shared" si="57"/>
        <v>0.21196362462339385</v>
      </c>
      <c r="AT26" s="135">
        <f t="shared" ref="AT26:AU26" si="58">AT9/AT$5</f>
        <v>0.20333780642818103</v>
      </c>
      <c r="AU26" s="135">
        <f t="shared" si="58"/>
        <v>0.20117988905091508</v>
      </c>
      <c r="AV26" s="135">
        <f t="shared" ref="AV26:AW26" si="59">AV9/AV$5</f>
        <v>0.19767594374711928</v>
      </c>
      <c r="AW26" s="135">
        <f t="shared" si="59"/>
        <v>0.19957616939254411</v>
      </c>
      <c r="AX26" s="135">
        <f t="shared" ref="AX26" si="60">AX9/AX$5</f>
        <v>0.18996065298386144</v>
      </c>
      <c r="AY26" s="135">
        <f t="shared" ref="AY26:AZ26" si="61">AY9/AY$5</f>
        <v>0.19857111417849654</v>
      </c>
      <c r="AZ26" s="135">
        <f t="shared" si="61"/>
        <v>0.1980203797207141</v>
      </c>
      <c r="BA26" s="135">
        <f t="shared" ref="BA26:BB26" si="62">BA9/BA$5</f>
        <v>0.1971958726680601</v>
      </c>
      <c r="BB26" s="135">
        <f t="shared" si="62"/>
        <v>0.19331604973324965</v>
      </c>
      <c r="BC26" s="135">
        <f t="shared" ref="BC26" si="63">BC9/BC$5</f>
        <v>0.18689361233412782</v>
      </c>
      <c r="BD26" s="2"/>
      <c r="BE26" s="2"/>
      <c r="BF26" s="2"/>
      <c r="BG26" s="2"/>
    </row>
    <row r="27" spans="1:59">
      <c r="A27" s="54" t="s">
        <v>198</v>
      </c>
      <c r="B27" s="114">
        <f t="shared" ref="B27:X27" si="64">B10/B$5</f>
        <v>1.9058619693907016E-3</v>
      </c>
      <c r="C27" s="114">
        <f t="shared" si="64"/>
        <v>2.5343119507619393E-3</v>
      </c>
      <c r="D27" s="114">
        <f t="shared" si="64"/>
        <v>4.4171292624900875E-3</v>
      </c>
      <c r="E27" s="114">
        <f t="shared" si="64"/>
        <v>2.4103236952589206E-3</v>
      </c>
      <c r="F27" s="114">
        <f t="shared" si="64"/>
        <v>2.4837945965290589E-3</v>
      </c>
      <c r="G27" s="114">
        <f t="shared" si="64"/>
        <v>1.6727080715235069E-3</v>
      </c>
      <c r="H27" s="114">
        <f t="shared" si="64"/>
        <v>2.324907091104912E-3</v>
      </c>
      <c r="I27" s="114">
        <f t="shared" si="64"/>
        <v>2.9558169262278331E-3</v>
      </c>
      <c r="J27" s="114">
        <f t="shared" si="64"/>
        <v>2.1740264366724494E-3</v>
      </c>
      <c r="K27" s="114">
        <f t="shared" si="64"/>
        <v>1.1432947936562048E-3</v>
      </c>
      <c r="L27" s="114">
        <f t="shared" si="64"/>
        <v>3.0900397236246525E-3</v>
      </c>
      <c r="M27" s="114">
        <f t="shared" si="64"/>
        <v>2.2055246518369208E-3</v>
      </c>
      <c r="N27" s="114">
        <f t="shared" si="64"/>
        <v>1.6660889022603509E-3</v>
      </c>
      <c r="O27" s="114">
        <f t="shared" si="64"/>
        <v>2.6181150700008067E-3</v>
      </c>
      <c r="P27" s="114">
        <f t="shared" si="64"/>
        <v>2.0821178981199613E-3</v>
      </c>
      <c r="Q27" s="114">
        <f t="shared" si="64"/>
        <v>3.8154064522667977E-3</v>
      </c>
      <c r="R27" s="114">
        <f t="shared" si="64"/>
        <v>5.2997932982813065E-3</v>
      </c>
      <c r="S27" s="114">
        <f t="shared" si="64"/>
        <v>5.2524016369354413E-3</v>
      </c>
      <c r="T27" s="114">
        <f t="shared" si="64"/>
        <v>4.1338530903358298E-3</v>
      </c>
      <c r="U27" s="114">
        <f t="shared" si="64"/>
        <v>4.0652322123726752E-3</v>
      </c>
      <c r="V27" s="114">
        <f t="shared" si="64"/>
        <v>2.0858605580978233E-3</v>
      </c>
      <c r="W27" s="114">
        <f t="shared" si="64"/>
        <v>1.9975382685459898E-3</v>
      </c>
      <c r="X27" s="115">
        <f t="shared" si="64"/>
        <v>5.9500171921518441E-3</v>
      </c>
      <c r="Y27" s="115">
        <f t="shared" ref="Y27:Z27" si="65">Y10/Y$5</f>
        <v>4.1811410444565133E-3</v>
      </c>
      <c r="Z27" s="115">
        <f t="shared" si="65"/>
        <v>4.6055144639132904E-3</v>
      </c>
      <c r="AA27" s="115">
        <f t="shared" ref="AA27:AB27" si="66">AA10/AA$5</f>
        <v>4.8108397047429714E-3</v>
      </c>
      <c r="AB27" s="115">
        <f t="shared" si="66"/>
        <v>8.2642817862841247E-3</v>
      </c>
      <c r="AC27" s="115">
        <f t="shared" ref="AC27:AD27" si="67">AC10/AC$5</f>
        <v>5.5982361039041747E-3</v>
      </c>
      <c r="AD27" s="115">
        <f t="shared" si="67"/>
        <v>7.0952822410092677E-3</v>
      </c>
      <c r="AE27" s="115">
        <f t="shared" ref="AE27:AF27" si="68">AE10/AE$5</f>
        <v>6.9708544465614461E-3</v>
      </c>
      <c r="AF27" s="116">
        <f t="shared" si="68"/>
        <v>4.0599352689035997E-3</v>
      </c>
      <c r="AG27" s="116">
        <f t="shared" ref="AG27:AH27" si="69">AG10/AG$5</f>
        <v>2.5055853639212745E-3</v>
      </c>
      <c r="AH27" s="116">
        <f t="shared" si="69"/>
        <v>1.7420484309446161E-3</v>
      </c>
      <c r="AI27" s="116">
        <f t="shared" ref="AI27:AJ27" si="70">AI10/AI$5</f>
        <v>6.6887314260738436E-3</v>
      </c>
      <c r="AJ27" s="116">
        <f t="shared" si="70"/>
        <v>4.8618319312758729E-3</v>
      </c>
      <c r="AK27" s="116">
        <f t="shared" ref="AK27:AL27" si="71">AK10/AK$5</f>
        <v>5.4151183773173787E-3</v>
      </c>
      <c r="AL27" s="116">
        <f t="shared" si="71"/>
        <v>5.665795972218118E-3</v>
      </c>
      <c r="AM27" s="116">
        <f t="shared" ref="AM27:AO27" si="72">AM10/AM$5</f>
        <v>5.2699716241848662E-3</v>
      </c>
      <c r="AN27" s="116">
        <f t="shared" ref="AN27" si="73">AN10/AN$5</f>
        <v>6.2791716361895941E-3</v>
      </c>
      <c r="AO27" s="116">
        <f t="shared" si="72"/>
        <v>7.2846038097641851E-3</v>
      </c>
      <c r="AP27" s="116">
        <f t="shared" ref="AP27:AQ27" si="74">AP10/AP$5</f>
        <v>8.9254178825880475E-3</v>
      </c>
      <c r="AQ27" s="116">
        <f t="shared" si="74"/>
        <v>8.3100607657182329E-3</v>
      </c>
      <c r="AR27" s="116">
        <f t="shared" ref="AR27:AS27" si="75">AR10/AR$5</f>
        <v>9.2379936265185453E-3</v>
      </c>
      <c r="AS27" s="116">
        <f t="shared" si="75"/>
        <v>9.2350123921176256E-3</v>
      </c>
      <c r="AT27" s="116">
        <f t="shared" ref="AT27:AU27" si="76">AT10/AT$5</f>
        <v>8.0770176472309552E-3</v>
      </c>
      <c r="AU27" s="116">
        <f t="shared" si="76"/>
        <v>9.0679051814560093E-3</v>
      </c>
      <c r="AV27" s="116">
        <f t="shared" ref="AV27:AW27" si="77">AV10/AV$5</f>
        <v>1.0330709886149439E-2</v>
      </c>
      <c r="AW27" s="116">
        <f t="shared" si="77"/>
        <v>1.2257490771945934E-2</v>
      </c>
      <c r="AX27" s="116">
        <f t="shared" ref="AX27" si="78">AX10/AX$5</f>
        <v>7.9753784298113965E-3</v>
      </c>
      <c r="AY27" s="116">
        <f t="shared" ref="AY27:AZ27" si="79">AY10/AY$5</f>
        <v>9.3728941307025786E-3</v>
      </c>
      <c r="AZ27" s="116">
        <f t="shared" si="79"/>
        <v>8.3493519641655769E-3</v>
      </c>
      <c r="BA27" s="116">
        <f t="shared" ref="BA27:BB27" si="80">BA10/BA$5</f>
        <v>1.580111837007056E-2</v>
      </c>
      <c r="BB27" s="116">
        <f t="shared" si="80"/>
        <v>1.2571298167310379E-2</v>
      </c>
      <c r="BC27" s="116">
        <f t="shared" ref="BC27" si="81">BC10/BC$5</f>
        <v>1.8208075683911966E-2</v>
      </c>
      <c r="BD27" s="2"/>
      <c r="BE27" s="2"/>
      <c r="BF27" s="2"/>
      <c r="BG27" s="2"/>
    </row>
    <row r="28" spans="1:59">
      <c r="A28" s="54" t="s">
        <v>199</v>
      </c>
      <c r="B28" s="114">
        <f t="shared" ref="B28:X28" si="82">B11/B$5</f>
        <v>4.337279815189142E-2</v>
      </c>
      <c r="C28" s="114">
        <f t="shared" si="82"/>
        <v>4.2268702893065203E-2</v>
      </c>
      <c r="D28" s="114">
        <f t="shared" si="82"/>
        <v>3.5939730372720066E-2</v>
      </c>
      <c r="E28" s="114">
        <f t="shared" si="82"/>
        <v>3.6286609457242013E-2</v>
      </c>
      <c r="F28" s="114">
        <f t="shared" si="82"/>
        <v>3.9347317505884258E-2</v>
      </c>
      <c r="G28" s="114">
        <f t="shared" si="82"/>
        <v>3.4899439895777734E-2</v>
      </c>
      <c r="H28" s="114">
        <f t="shared" si="82"/>
        <v>3.6176739003626113E-2</v>
      </c>
      <c r="I28" s="114">
        <f t="shared" si="82"/>
        <v>3.8352816668394643E-2</v>
      </c>
      <c r="J28" s="114">
        <f t="shared" si="82"/>
        <v>3.8689362191482952E-2</v>
      </c>
      <c r="K28" s="114">
        <f t="shared" si="82"/>
        <v>3.7832037961165861E-2</v>
      </c>
      <c r="L28" s="114">
        <f t="shared" si="82"/>
        <v>3.7384747553436994E-2</v>
      </c>
      <c r="M28" s="114">
        <f t="shared" si="82"/>
        <v>3.455540107329063E-2</v>
      </c>
      <c r="N28" s="114">
        <f t="shared" si="82"/>
        <v>3.4207862779742484E-2</v>
      </c>
      <c r="O28" s="114">
        <f t="shared" si="82"/>
        <v>3.5254380835711571E-2</v>
      </c>
      <c r="P28" s="114">
        <f t="shared" si="82"/>
        <v>3.3386518389621242E-2</v>
      </c>
      <c r="Q28" s="114">
        <f t="shared" si="82"/>
        <v>3.4503776123976863E-2</v>
      </c>
      <c r="R28" s="114">
        <f t="shared" si="82"/>
        <v>3.5019754854591564E-2</v>
      </c>
      <c r="S28" s="114">
        <f t="shared" si="82"/>
        <v>3.380303798585467E-2</v>
      </c>
      <c r="T28" s="114">
        <f t="shared" si="82"/>
        <v>3.3391846011718171E-2</v>
      </c>
      <c r="U28" s="114">
        <f t="shared" si="82"/>
        <v>3.5842776900813743E-2</v>
      </c>
      <c r="V28" s="114">
        <f t="shared" si="82"/>
        <v>3.0482342945621941E-2</v>
      </c>
      <c r="W28" s="114">
        <f t="shared" si="82"/>
        <v>3.2096336802960541E-2</v>
      </c>
      <c r="X28" s="115">
        <f t="shared" si="82"/>
        <v>3.1688561369179684E-2</v>
      </c>
      <c r="Y28" s="115">
        <f t="shared" ref="Y28:Z28" si="83">Y11/Y$5</f>
        <v>3.5453462302788841E-2</v>
      </c>
      <c r="Z28" s="115">
        <f t="shared" si="83"/>
        <v>3.5817930290635673E-2</v>
      </c>
      <c r="AA28" s="115">
        <f t="shared" ref="AA28:AB28" si="84">AA11/AA$5</f>
        <v>3.687709836095112E-2</v>
      </c>
      <c r="AB28" s="115">
        <f t="shared" si="84"/>
        <v>3.8611111639865102E-2</v>
      </c>
      <c r="AC28" s="115">
        <f t="shared" ref="AC28:AD28" si="85">AC11/AC$5</f>
        <v>4.0778389438989322E-2</v>
      </c>
      <c r="AD28" s="115">
        <f t="shared" si="85"/>
        <v>3.5471833434976362E-2</v>
      </c>
      <c r="AE28" s="115">
        <f t="shared" ref="AE28:AF28" si="86">AE11/AE$5</f>
        <v>3.6752595935827179E-2</v>
      </c>
      <c r="AF28" s="116">
        <f t="shared" si="86"/>
        <v>3.531401910976037E-2</v>
      </c>
      <c r="AG28" s="116">
        <f t="shared" ref="AG28:AH28" si="87">AG11/AG$5</f>
        <v>3.4808572670836362E-2</v>
      </c>
      <c r="AH28" s="116">
        <f t="shared" si="87"/>
        <v>3.2949416031560666E-2</v>
      </c>
      <c r="AI28" s="116">
        <f t="shared" ref="AI28:AJ28" si="88">AI11/AI$5</f>
        <v>3.5744909791972861E-2</v>
      </c>
      <c r="AJ28" s="116">
        <f t="shared" si="88"/>
        <v>3.4214215654105012E-2</v>
      </c>
      <c r="AK28" s="116">
        <f t="shared" ref="AK28:AL28" si="89">AK11/AK$5</f>
        <v>2.9505748755199689E-2</v>
      </c>
      <c r="AL28" s="116">
        <f t="shared" si="89"/>
        <v>3.3251363325431535E-2</v>
      </c>
      <c r="AM28" s="116">
        <f t="shared" ref="AM28:AO28" si="90">AM11/AM$5</f>
        <v>2.6769882447146513E-2</v>
      </c>
      <c r="AN28" s="116">
        <f t="shared" ref="AN28" si="91">AN11/AN$5</f>
        <v>2.7549794771844913E-2</v>
      </c>
      <c r="AO28" s="116">
        <f t="shared" si="90"/>
        <v>2.703818030694349E-2</v>
      </c>
      <c r="AP28" s="116">
        <f t="shared" ref="AP28:AQ28" si="92">AP11/AP$5</f>
        <v>2.7503867641731714E-2</v>
      </c>
      <c r="AQ28" s="116">
        <f t="shared" si="92"/>
        <v>2.7954571903557469E-2</v>
      </c>
      <c r="AR28" s="116">
        <f t="shared" ref="AR28:AS28" si="93">AR11/AR$5</f>
        <v>2.2939167630387843E-2</v>
      </c>
      <c r="AS28" s="116">
        <f t="shared" si="93"/>
        <v>2.4957647351555094E-2</v>
      </c>
      <c r="AT28" s="116">
        <f t="shared" ref="AT28:AU28" si="94">AT11/AT$5</f>
        <v>2.4710147127083883E-2</v>
      </c>
      <c r="AU28" s="116">
        <f t="shared" si="94"/>
        <v>2.5162009343726685E-2</v>
      </c>
      <c r="AV28" s="116">
        <f t="shared" ref="AV28:AW28" si="95">AV11/AV$5</f>
        <v>2.4041983749739992E-2</v>
      </c>
      <c r="AW28" s="116">
        <f t="shared" si="95"/>
        <v>2.4019151190890899E-2</v>
      </c>
      <c r="AX28" s="116">
        <f t="shared" ref="AX28" si="96">AX11/AX$5</f>
        <v>2.3668401770304746E-2</v>
      </c>
      <c r="AY28" s="116">
        <f t="shared" ref="AY28:AZ28" si="97">AY11/AY$5</f>
        <v>2.550367874770813E-2</v>
      </c>
      <c r="AZ28" s="116">
        <f t="shared" si="97"/>
        <v>2.3713660381641657E-2</v>
      </c>
      <c r="BA28" s="116">
        <f t="shared" ref="BA28:BB28" si="98">BA11/BA$5</f>
        <v>2.526498691720739E-2</v>
      </c>
      <c r="BB28" s="116">
        <f t="shared" si="98"/>
        <v>2.561028843002729E-2</v>
      </c>
      <c r="BC28" s="116">
        <f t="shared" ref="BC28" si="99">BC11/BC$5</f>
        <v>2.5909256409236522E-2</v>
      </c>
      <c r="BD28" s="2"/>
      <c r="BE28" s="2"/>
      <c r="BF28" s="2"/>
      <c r="BG28" s="2"/>
    </row>
    <row r="29" spans="1:59">
      <c r="A29" s="54" t="s">
        <v>200</v>
      </c>
      <c r="B29" s="114">
        <f t="shared" ref="B29:X29" si="100">B12/B$5</f>
        <v>0.14850872488758715</v>
      </c>
      <c r="C29" s="114">
        <f t="shared" si="100"/>
        <v>0.1469571800019748</v>
      </c>
      <c r="D29" s="114">
        <f t="shared" si="100"/>
        <v>0.15938937351308485</v>
      </c>
      <c r="E29" s="114">
        <f t="shared" si="100"/>
        <v>0.15136212787269041</v>
      </c>
      <c r="F29" s="114">
        <f t="shared" si="100"/>
        <v>0.17097300382629377</v>
      </c>
      <c r="G29" s="114">
        <f t="shared" si="100"/>
        <v>0.14454985584748972</v>
      </c>
      <c r="H29" s="114">
        <f t="shared" si="100"/>
        <v>0.1385837134529001</v>
      </c>
      <c r="I29" s="114">
        <f t="shared" si="100"/>
        <v>0.12080263610073506</v>
      </c>
      <c r="J29" s="114">
        <f t="shared" si="100"/>
        <v>0.12499267280652142</v>
      </c>
      <c r="K29" s="114">
        <f t="shared" si="100"/>
        <v>0.12474999155117371</v>
      </c>
      <c r="L29" s="114">
        <f t="shared" si="100"/>
        <v>0.11780015769144135</v>
      </c>
      <c r="M29" s="114">
        <f t="shared" si="100"/>
        <v>0.12382352051262475</v>
      </c>
      <c r="N29" s="114">
        <f t="shared" si="100"/>
        <v>0.12354018010093794</v>
      </c>
      <c r="O29" s="114">
        <f t="shared" si="100"/>
        <v>0.1089969188406274</v>
      </c>
      <c r="P29" s="114">
        <f t="shared" si="100"/>
        <v>0.1079130232720372</v>
      </c>
      <c r="Q29" s="114">
        <f t="shared" si="100"/>
        <v>0.11203849642444651</v>
      </c>
      <c r="R29" s="133">
        <f t="shared" si="100"/>
        <v>0.11804604253822694</v>
      </c>
      <c r="S29" s="134">
        <f t="shared" si="100"/>
        <v>0.11289230577164835</v>
      </c>
      <c r="T29" s="134">
        <f t="shared" si="100"/>
        <v>0.11725161783065619</v>
      </c>
      <c r="U29" s="134">
        <f t="shared" si="100"/>
        <v>0.1243478040860284</v>
      </c>
      <c r="V29" s="134">
        <f t="shared" si="100"/>
        <v>0.12659213460400001</v>
      </c>
      <c r="W29" s="134">
        <f t="shared" si="100"/>
        <v>0.11623144903356591</v>
      </c>
      <c r="X29" s="134">
        <f t="shared" si="100"/>
        <v>0.13329564334558039</v>
      </c>
      <c r="Y29" s="134">
        <f t="shared" ref="Y29" si="101">Y12/Y$5</f>
        <v>0.13255440962988746</v>
      </c>
      <c r="Z29" s="134">
        <f t="shared" ref="Z29:AE29" si="102">Z12/Z$5</f>
        <v>0.13937402005566027</v>
      </c>
      <c r="AA29" s="134">
        <f t="shared" si="102"/>
        <v>0.12763440020660785</v>
      </c>
      <c r="AB29" s="134">
        <f t="shared" si="102"/>
        <v>0.14980431793673571</v>
      </c>
      <c r="AC29" s="134">
        <f t="shared" si="102"/>
        <v>0.14330627628596476</v>
      </c>
      <c r="AD29" s="134">
        <f t="shared" si="102"/>
        <v>0.15466765055533066</v>
      </c>
      <c r="AE29" s="134">
        <f t="shared" si="102"/>
        <v>0.15348757148530268</v>
      </c>
      <c r="AF29" s="135">
        <f t="shared" ref="AF29:AG29" si="103">AF12/AF$5</f>
        <v>0.14951343121280125</v>
      </c>
      <c r="AG29" s="135">
        <f t="shared" si="103"/>
        <v>0.13655744472360612</v>
      </c>
      <c r="AH29" s="135">
        <f t="shared" ref="AH29:AI29" si="104">AH12/AH$5</f>
        <v>0.10766899332151725</v>
      </c>
      <c r="AI29" s="135">
        <f t="shared" si="104"/>
        <v>6.8918348331731549E-2</v>
      </c>
      <c r="AJ29" s="135">
        <f t="shared" ref="AJ29:AK29" si="105">AJ12/AJ$5</f>
        <v>8.414591315927443E-2</v>
      </c>
      <c r="AK29" s="135">
        <f t="shared" si="105"/>
        <v>7.7272659826892659E-2</v>
      </c>
      <c r="AL29" s="135">
        <f t="shared" ref="AL29:AM29" si="106">AL12/AL$5</f>
        <v>6.9401498190907587E-2</v>
      </c>
      <c r="AM29" s="135">
        <f t="shared" si="106"/>
        <v>6.3022116089428648E-2</v>
      </c>
      <c r="AN29" s="135">
        <f t="shared" ref="AN29" si="107">AN12/AN$5</f>
        <v>6.3777313444708897E-2</v>
      </c>
      <c r="AO29" s="135">
        <f t="shared" ref="AO29:AP29" si="108">AO12/AO$5</f>
        <v>6.2799077963561156E-2</v>
      </c>
      <c r="AP29" s="135">
        <f t="shared" si="108"/>
        <v>7.157858431159754E-2</v>
      </c>
      <c r="AQ29" s="135">
        <f t="shared" ref="AQ29:AR29" si="109">AQ12/AQ$5</f>
        <v>6.5100034267566304E-2</v>
      </c>
      <c r="AR29" s="135">
        <f t="shared" si="109"/>
        <v>6.890817021362812E-2</v>
      </c>
      <c r="AS29" s="135">
        <f t="shared" ref="AS29:AT29" si="110">AS12/AS$5</f>
        <v>7.6400445681248111E-2</v>
      </c>
      <c r="AT29" s="135">
        <f t="shared" si="110"/>
        <v>7.6550066882482684E-2</v>
      </c>
      <c r="AU29" s="135">
        <f t="shared" ref="AU29:AV29" si="111">AU12/AU$5</f>
        <v>8.035667233354972E-2</v>
      </c>
      <c r="AV29" s="135">
        <f t="shared" si="111"/>
        <v>8.717820538256793E-2</v>
      </c>
      <c r="AW29" s="135">
        <f t="shared" ref="AW29:AX29" si="112">AW12/AW$5</f>
        <v>8.2306898268458564E-2</v>
      </c>
      <c r="AX29" s="135">
        <f t="shared" si="112"/>
        <v>8.8554038644529057E-2</v>
      </c>
      <c r="AY29" s="135">
        <f t="shared" ref="AY29:AZ29" si="113">AY12/AY$5</f>
        <v>7.4945552846951646E-2</v>
      </c>
      <c r="AZ29" s="135">
        <f t="shared" si="113"/>
        <v>8.2676701297163493E-2</v>
      </c>
      <c r="BA29" s="135">
        <f t="shared" ref="BA29:BB29" si="114">BA12/BA$5</f>
        <v>7.6002994490182385E-2</v>
      </c>
      <c r="BB29" s="135">
        <f t="shared" si="114"/>
        <v>8.0489477922942906E-2</v>
      </c>
      <c r="BC29" s="135">
        <f t="shared" ref="BC29" si="115">BC12/BC$5</f>
        <v>7.4606909339020228E-2</v>
      </c>
      <c r="BD29" s="2"/>
      <c r="BE29" s="2"/>
      <c r="BF29" s="2"/>
      <c r="BG29" s="2"/>
    </row>
    <row r="30" spans="1:59">
      <c r="A30" s="2"/>
      <c r="B30" s="85"/>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2"/>
      <c r="BE30" s="2"/>
      <c r="BF30" s="2"/>
      <c r="BG30" s="2"/>
    </row>
    <row r="31" spans="1:59">
      <c r="A31" s="191" t="s">
        <v>497</v>
      </c>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2"/>
      <c r="BE31" s="2"/>
      <c r="BF31" s="2"/>
      <c r="BG31" s="2"/>
    </row>
    <row r="32" spans="1:59">
      <c r="A32" s="54" t="s">
        <v>196</v>
      </c>
      <c r="B32" s="85"/>
      <c r="C32" s="85"/>
      <c r="D32" s="85"/>
      <c r="E32" s="85"/>
      <c r="F32" s="120">
        <f>F24-B24</f>
        <v>1.5853922190844208E-2</v>
      </c>
      <c r="G32" s="120">
        <f t="shared" ref="G32:AC37" si="116">G24-C24</f>
        <v>2.7144056668476468E-2</v>
      </c>
      <c r="H32" s="120">
        <f t="shared" si="116"/>
        <v>2.3389159532253734E-2</v>
      </c>
      <c r="I32" s="120">
        <f t="shared" si="116"/>
        <v>1.1673099567181294E-2</v>
      </c>
      <c r="J32" s="120">
        <f t="shared" si="116"/>
        <v>2.4272211201021299E-3</v>
      </c>
      <c r="K32" s="120">
        <f t="shared" si="116"/>
        <v>-2.477114140388216E-2</v>
      </c>
      <c r="L32" s="120">
        <f t="shared" si="116"/>
        <v>-2.6192862210956042E-2</v>
      </c>
      <c r="M32" s="120">
        <f t="shared" si="116"/>
        <v>-1.3309003380365475E-2</v>
      </c>
      <c r="N32" s="120">
        <f t="shared" si="116"/>
        <v>-1.5425139480879438E-2</v>
      </c>
      <c r="O32" s="120">
        <f t="shared" si="116"/>
        <v>3.5857921984006058E-4</v>
      </c>
      <c r="P32" s="120">
        <f t="shared" si="116"/>
        <v>4.3343936517232229E-3</v>
      </c>
      <c r="Q32" s="120">
        <f t="shared" si="116"/>
        <v>-1.9556036531250959E-3</v>
      </c>
      <c r="R32" s="120">
        <f t="shared" si="116"/>
        <v>-5.3536386798410385E-3</v>
      </c>
      <c r="S32" s="120">
        <f t="shared" si="116"/>
        <v>-4.5044609151759507E-3</v>
      </c>
      <c r="T32" s="120">
        <f t="shared" si="116"/>
        <v>-1.2713091097889137E-2</v>
      </c>
      <c r="U32" s="120">
        <f t="shared" si="116"/>
        <v>-1.5525842922705757E-2</v>
      </c>
      <c r="V32" s="120">
        <f t="shared" si="116"/>
        <v>-8.9613161539823238E-3</v>
      </c>
      <c r="W32" s="120">
        <f t="shared" si="116"/>
        <v>-2.0454323934990526E-3</v>
      </c>
      <c r="X32" s="120">
        <f t="shared" si="116"/>
        <v>-7.3719266869731737E-3</v>
      </c>
      <c r="Y32" s="120">
        <f t="shared" si="116"/>
        <v>1.6192481951809723E-3</v>
      </c>
      <c r="Z32" s="120">
        <f t="shared" si="116"/>
        <v>1.488570456156843E-2</v>
      </c>
      <c r="AA32" s="120">
        <f t="shared" si="116"/>
        <v>1.1675507795610426E-2</v>
      </c>
      <c r="AB32" s="120">
        <f t="shared" si="116"/>
        <v>-3.0137865005183812E-3</v>
      </c>
      <c r="AC32" s="120">
        <f t="shared" si="116"/>
        <v>9.42202964225064E-3</v>
      </c>
      <c r="AD32" s="120">
        <f t="shared" ref="AD32:AG37" si="117">AD24-Z24</f>
        <v>-7.7619304941767275E-8</v>
      </c>
      <c r="AE32" s="120">
        <f t="shared" si="117"/>
        <v>5.4363286720618409E-4</v>
      </c>
      <c r="AF32" s="121">
        <f t="shared" si="117"/>
        <v>3.7311584028857592E-2</v>
      </c>
      <c r="AG32" s="121">
        <f t="shared" si="117"/>
        <v>2.046987498345261E-2</v>
      </c>
      <c r="AH32" s="121">
        <f t="shared" ref="AH32:AN37" si="118">AH24-AD24</f>
        <v>2.2134748963376499E-2</v>
      </c>
      <c r="AI32" s="121">
        <f t="shared" si="118"/>
        <v>1.148377432202019E-2</v>
      </c>
      <c r="AJ32" s="121">
        <f t="shared" si="118"/>
        <v>1.7649319835165433E-3</v>
      </c>
      <c r="AK32" s="121">
        <f t="shared" si="118"/>
        <v>-2.3391760743887158E-3</v>
      </c>
      <c r="AL32" s="121">
        <f t="shared" si="118"/>
        <v>-8.9917896561545474E-3</v>
      </c>
      <c r="AM32" s="121">
        <f t="shared" si="118"/>
        <v>-1.2030731154915486E-2</v>
      </c>
      <c r="AN32" s="121">
        <f t="shared" si="118"/>
        <v>-1.3682918861398302E-2</v>
      </c>
      <c r="AO32" s="121">
        <f t="shared" ref="AO32:AO37" si="119">AO24-AK24</f>
        <v>-7.3355645953365717E-2</v>
      </c>
      <c r="AP32" s="121">
        <f t="shared" ref="AP32:AS37" si="120">AP24-AL24</f>
        <v>-7.656541813048974E-2</v>
      </c>
      <c r="AQ32" s="121">
        <f t="shared" si="120"/>
        <v>-7.4166179267086407E-2</v>
      </c>
      <c r="AR32" s="121">
        <f t="shared" si="120"/>
        <v>-7.2774806434574221E-2</v>
      </c>
      <c r="AS32" s="121">
        <f t="shared" si="120"/>
        <v>-8.5812349141920902E-3</v>
      </c>
      <c r="AT32" s="121">
        <f t="shared" ref="AT32:BC37" si="121">AT24-AP24</f>
        <v>-1.9942105465072524E-3</v>
      </c>
      <c r="AU32" s="121">
        <f t="shared" si="121"/>
        <v>5.1664979256513949E-4</v>
      </c>
      <c r="AV32" s="121">
        <f t="shared" si="121"/>
        <v>-7.6800565012078575E-4</v>
      </c>
      <c r="AW32" s="121">
        <f t="shared" si="121"/>
        <v>2.2953022631716502E-4</v>
      </c>
      <c r="AX32" s="121">
        <f t="shared" si="121"/>
        <v>6.2976894449556786E-4</v>
      </c>
      <c r="AY32" s="121">
        <f t="shared" si="121"/>
        <v>-3.2988858832277285E-3</v>
      </c>
      <c r="AZ32" s="121">
        <f t="shared" si="121"/>
        <v>-9.4950936884345E-4</v>
      </c>
      <c r="BA32" s="121">
        <f t="shared" si="121"/>
        <v>2.0869731835219396E-3</v>
      </c>
      <c r="BB32" s="121">
        <f t="shared" si="121"/>
        <v>2.2700965761265901E-4</v>
      </c>
      <c r="BC32" s="121">
        <f t="shared" si="121"/>
        <v>-4.5218130198265011E-3</v>
      </c>
      <c r="BD32" s="2"/>
      <c r="BE32" s="2"/>
      <c r="BF32" s="2"/>
      <c r="BG32" s="2"/>
    </row>
    <row r="33" spans="1:59">
      <c r="A33" s="54" t="s">
        <v>197</v>
      </c>
      <c r="B33" s="85"/>
      <c r="C33" s="85"/>
      <c r="D33" s="85"/>
      <c r="E33" s="85"/>
      <c r="F33" s="120">
        <f t="shared" ref="F33:F37" si="122">F25-B25</f>
        <v>-4.8969552291494578E-4</v>
      </c>
      <c r="G33" s="120">
        <f t="shared" si="116"/>
        <v>-3.7655236680540077E-3</v>
      </c>
      <c r="H33" s="120">
        <f t="shared" si="116"/>
        <v>-6.182354627966638E-3</v>
      </c>
      <c r="I33" s="120">
        <f t="shared" si="116"/>
        <v>-6.5055233650107847E-3</v>
      </c>
      <c r="J33" s="120">
        <f t="shared" si="116"/>
        <v>-4.3920536168932933E-3</v>
      </c>
      <c r="K33" s="120">
        <f t="shared" si="116"/>
        <v>4.8818676690046831E-3</v>
      </c>
      <c r="L33" s="120">
        <f t="shared" si="116"/>
        <v>3.8835436111294558E-3</v>
      </c>
      <c r="M33" s="120">
        <f t="shared" si="116"/>
        <v>3.3601963120143546E-3</v>
      </c>
      <c r="N33" s="120">
        <f t="shared" si="116"/>
        <v>7.7991354972906796E-3</v>
      </c>
      <c r="O33" s="120">
        <f t="shared" si="116"/>
        <v>3.35298425558965E-3</v>
      </c>
      <c r="P33" s="120">
        <f t="shared" si="116"/>
        <v>3.8500972581065745E-3</v>
      </c>
      <c r="Q33" s="120">
        <f t="shared" si="116"/>
        <v>1.5661924370727193E-3</v>
      </c>
      <c r="R33" s="120">
        <f t="shared" si="116"/>
        <v>-6.3767821005182579E-4</v>
      </c>
      <c r="S33" s="120">
        <f t="shared" si="116"/>
        <v>1.8870541072681796E-3</v>
      </c>
      <c r="T33" s="120">
        <f t="shared" si="116"/>
        <v>1.0710792251350243E-3</v>
      </c>
      <c r="U33" s="120">
        <f t="shared" si="116"/>
        <v>7.6613717914200963E-3</v>
      </c>
      <c r="V33" s="120">
        <f t="shared" si="116"/>
        <v>1.3862563726249888E-3</v>
      </c>
      <c r="W33" s="120">
        <f t="shared" si="116"/>
        <v>-2.212030387533287E-3</v>
      </c>
      <c r="X33" s="120">
        <f t="shared" si="116"/>
        <v>-4.3339049881688657E-3</v>
      </c>
      <c r="Y33" s="120">
        <f t="shared" si="116"/>
        <v>-1.0088085260752375E-2</v>
      </c>
      <c r="Z33" s="120">
        <f t="shared" si="116"/>
        <v>-9.7578499988200396E-3</v>
      </c>
      <c r="AA33" s="120">
        <f t="shared" si="116"/>
        <v>-7.4861529387303394E-3</v>
      </c>
      <c r="AB33" s="120">
        <f t="shared" si="116"/>
        <v>-7.8938686087683674E-3</v>
      </c>
      <c r="AC33" s="120">
        <f t="shared" si="116"/>
        <v>-5.6561995919424402E-3</v>
      </c>
      <c r="AD33" s="120">
        <f t="shared" si="117"/>
        <v>-9.558539432550528E-3</v>
      </c>
      <c r="AE33" s="120">
        <f t="shared" si="117"/>
        <v>-5.8047268642497651E-3</v>
      </c>
      <c r="AF33" s="121">
        <f t="shared" si="117"/>
        <v>-2.0943988532623053E-3</v>
      </c>
      <c r="AG33" s="121">
        <f t="shared" si="117"/>
        <v>-5.4362332190225904E-3</v>
      </c>
      <c r="AH33" s="121">
        <f t="shared" si="118"/>
        <v>3.0579989843580041E-3</v>
      </c>
      <c r="AI33" s="121">
        <f t="shared" si="118"/>
        <v>-9.4180878461595369E-3</v>
      </c>
      <c r="AJ33" s="121">
        <f t="shared" si="118"/>
        <v>-3.5683952617781428E-3</v>
      </c>
      <c r="AK33" s="121">
        <f t="shared" si="118"/>
        <v>1.329657555425745E-3</v>
      </c>
      <c r="AL33" s="121">
        <f t="shared" si="118"/>
        <v>-2.9986576127919995E-3</v>
      </c>
      <c r="AM33" s="121">
        <f t="shared" si="118"/>
        <v>1.0686104445041228E-2</v>
      </c>
      <c r="AN33" s="121">
        <f t="shared" si="118"/>
        <v>5.3000748728536523E-3</v>
      </c>
      <c r="AO33" s="121">
        <f t="shared" si="119"/>
        <v>8.829539882139914E-3</v>
      </c>
      <c r="AP33" s="121">
        <f t="shared" si="120"/>
        <v>1.7271477501771604E-2</v>
      </c>
      <c r="AQ33" s="121">
        <f t="shared" si="120"/>
        <v>1.2752130607014661E-2</v>
      </c>
      <c r="AR33" s="121">
        <f t="shared" si="120"/>
        <v>9.3003365807002164E-3</v>
      </c>
      <c r="AS33" s="121">
        <f t="shared" si="120"/>
        <v>7.3187940249991729E-3</v>
      </c>
      <c r="AT33" s="121">
        <f t="shared" si="121"/>
        <v>1.9894973352008599E-3</v>
      </c>
      <c r="AU33" s="121">
        <f t="shared" si="121"/>
        <v>-9.967916211322092E-3</v>
      </c>
      <c r="AV33" s="121">
        <f t="shared" si="121"/>
        <v>-1.6590358238442779E-2</v>
      </c>
      <c r="AW33" s="121">
        <f t="shared" si="121"/>
        <v>-2.1449301572919952E-2</v>
      </c>
      <c r="AX33" s="121">
        <f t="shared" si="121"/>
        <v>-2.3373267163383532E-2</v>
      </c>
      <c r="AY33" s="121">
        <f t="shared" si="121"/>
        <v>-1.0424842097858045E-2</v>
      </c>
      <c r="AZ33" s="121">
        <f t="shared" si="121"/>
        <v>-1.7886365570711077E-3</v>
      </c>
      <c r="BA33" s="121">
        <f t="shared" si="121"/>
        <v>-6.2513101603446641E-4</v>
      </c>
      <c r="BB33" s="121">
        <f t="shared" si="121"/>
        <v>-7.2533726602250215E-4</v>
      </c>
      <c r="BC33" s="121">
        <f t="shared" si="121"/>
        <v>1.6149842256681923E-3</v>
      </c>
      <c r="BD33" s="2"/>
      <c r="BE33" s="2"/>
      <c r="BF33" s="2"/>
      <c r="BG33" s="2"/>
    </row>
    <row r="34" spans="1:59">
      <c r="A34" s="54" t="s">
        <v>204</v>
      </c>
      <c r="B34" s="85"/>
      <c r="C34" s="85"/>
      <c r="D34" s="85"/>
      <c r="E34" s="85"/>
      <c r="F34" s="120">
        <f t="shared" si="122"/>
        <v>9.6711662238236185E-2</v>
      </c>
      <c r="G34" s="120">
        <f t="shared" si="116"/>
        <v>0.10958286792436558</v>
      </c>
      <c r="H34" s="120">
        <f t="shared" si="116"/>
        <v>0.13533878610146483</v>
      </c>
      <c r="I34" s="120">
        <f t="shared" si="116"/>
        <v>0.12892865069575726</v>
      </c>
      <c r="J34" s="120">
        <f t="shared" si="116"/>
        <v>2.1015786328562214E-2</v>
      </c>
      <c r="K34" s="120">
        <f t="shared" si="116"/>
        <v>1.4592703671227419E-2</v>
      </c>
      <c r="L34" s="120">
        <f t="shared" si="116"/>
        <v>4.6899656844198168E-3</v>
      </c>
      <c r="M34" s="120">
        <f t="shared" si="116"/>
        <v>-1.2621656772869277E-2</v>
      </c>
      <c r="N34" s="120">
        <f t="shared" si="116"/>
        <v>-9.7071297102793719E-3</v>
      </c>
      <c r="O34" s="120">
        <f t="shared" si="116"/>
        <v>-1.2565843108656993E-2</v>
      </c>
      <c r="P34" s="120">
        <f t="shared" si="116"/>
        <v>-1.7859446275809709E-2</v>
      </c>
      <c r="Q34" s="120">
        <f t="shared" si="116"/>
        <v>-2.7860434372828285E-2</v>
      </c>
      <c r="R34" s="120">
        <f t="shared" si="116"/>
        <v>-1.4631913628362997E-2</v>
      </c>
      <c r="S34" s="120">
        <f t="shared" si="116"/>
        <v>-1.095000224667167E-2</v>
      </c>
      <c r="T34" s="120">
        <f t="shared" si="116"/>
        <v>-7.161658112382896E-3</v>
      </c>
      <c r="U34" s="120">
        <f t="shared" si="116"/>
        <v>-8.8677249899347388E-3</v>
      </c>
      <c r="V34" s="120">
        <f t="shared" si="116"/>
        <v>-1.3092187889144569E-2</v>
      </c>
      <c r="W34" s="120">
        <f t="shared" si="116"/>
        <v>-2.0750754582450764E-2</v>
      </c>
      <c r="X34" s="120">
        <f t="shared" si="116"/>
        <v>-1.2343393247207235E-3</v>
      </c>
      <c r="Y34" s="120">
        <f t="shared" si="116"/>
        <v>3.4182752111995202E-2</v>
      </c>
      <c r="Z34" s="120">
        <f t="shared" si="116"/>
        <v>2.8498676938475104E-2</v>
      </c>
      <c r="AA34" s="120">
        <f t="shared" si="116"/>
        <v>3.2714112983062177E-2</v>
      </c>
      <c r="AB34" s="120">
        <f t="shared" si="116"/>
        <v>1.8779553788595277E-2</v>
      </c>
      <c r="AC34" s="120">
        <f t="shared" si="116"/>
        <v>1.9088161933976278E-2</v>
      </c>
      <c r="AD34" s="120">
        <f t="shared" si="117"/>
        <v>3.4603212519727866E-2</v>
      </c>
      <c r="AE34" s="120">
        <f t="shared" si="117"/>
        <v>5.6171834906336371E-2</v>
      </c>
      <c r="AF34" s="121">
        <f t="shared" si="117"/>
        <v>6.1081037313880593E-2</v>
      </c>
      <c r="AG34" s="121">
        <f t="shared" si="117"/>
        <v>5.4583156694376855E-2</v>
      </c>
      <c r="AH34" s="121">
        <f t="shared" si="118"/>
        <v>-2.3915469642888182E-2</v>
      </c>
      <c r="AI34" s="121">
        <f t="shared" si="118"/>
        <v>-4.0907537369720998E-2</v>
      </c>
      <c r="AJ34" s="121">
        <f t="shared" si="118"/>
        <v>-6.1698263792781954E-2</v>
      </c>
      <c r="AK34" s="121">
        <f t="shared" si="118"/>
        <v>-7.4978779829153824E-2</v>
      </c>
      <c r="AL34" s="121">
        <f t="shared" si="118"/>
        <v>-1.7177632113572011E-2</v>
      </c>
      <c r="AM34" s="121">
        <f t="shared" si="118"/>
        <v>-2.5430209611077753E-2</v>
      </c>
      <c r="AN34" s="121">
        <f t="shared" si="118"/>
        <v>-2.4525825687266106E-2</v>
      </c>
      <c r="AO34" s="121">
        <f t="shared" si="119"/>
        <v>6.1978090377632078E-3</v>
      </c>
      <c r="AP34" s="121">
        <f t="shared" si="120"/>
        <v>1.0491425232120322E-3</v>
      </c>
      <c r="AQ34" s="121">
        <f t="shared" si="120"/>
        <v>4.2979957658124956E-3</v>
      </c>
      <c r="AR34" s="121">
        <f t="shared" si="120"/>
        <v>1.4802062356596257E-2</v>
      </c>
      <c r="AS34" s="121">
        <f t="shared" si="120"/>
        <v>-2.5305686592884236E-2</v>
      </c>
      <c r="AT34" s="121">
        <f t="shared" si="121"/>
        <v>-1.9070835587334273E-2</v>
      </c>
      <c r="AU34" s="121">
        <f t="shared" si="121"/>
        <v>-2.4515146970479074E-2</v>
      </c>
      <c r="AV34" s="121">
        <f t="shared" si="121"/>
        <v>-3.0824588098690542E-2</v>
      </c>
      <c r="AW34" s="121">
        <f t="shared" si="121"/>
        <v>-1.2387455230849748E-2</v>
      </c>
      <c r="AX34" s="121">
        <f t="shared" si="121"/>
        <v>-1.3377153444319584E-2</v>
      </c>
      <c r="AY34" s="121">
        <f t="shared" si="121"/>
        <v>-2.6087748724185345E-3</v>
      </c>
      <c r="AZ34" s="121">
        <f t="shared" si="121"/>
        <v>3.4443597359481992E-4</v>
      </c>
      <c r="BA34" s="121">
        <f t="shared" si="121"/>
        <v>-2.3802967244840045E-3</v>
      </c>
      <c r="BB34" s="121">
        <f t="shared" si="121"/>
        <v>3.3553967493882009E-3</v>
      </c>
      <c r="BC34" s="121">
        <f t="shared" si="121"/>
        <v>-1.1677501844368721E-2</v>
      </c>
      <c r="BD34" s="2"/>
      <c r="BE34" s="2"/>
      <c r="BF34" s="2"/>
      <c r="BG34" s="2"/>
    </row>
    <row r="35" spans="1:59">
      <c r="A35" s="54" t="s">
        <v>198</v>
      </c>
      <c r="B35" s="85"/>
      <c r="C35" s="85"/>
      <c r="D35" s="85"/>
      <c r="E35" s="85"/>
      <c r="F35" s="120">
        <f t="shared" si="122"/>
        <v>5.7793262713835727E-4</v>
      </c>
      <c r="G35" s="120">
        <f t="shared" si="116"/>
        <v>-8.6160387923843234E-4</v>
      </c>
      <c r="H35" s="120">
        <f t="shared" si="116"/>
        <v>-2.0922221713851755E-3</v>
      </c>
      <c r="I35" s="120">
        <f t="shared" si="116"/>
        <v>5.4549323096891259E-4</v>
      </c>
      <c r="J35" s="120">
        <f t="shared" si="116"/>
        <v>-3.0976815985660948E-4</v>
      </c>
      <c r="K35" s="120">
        <f t="shared" si="116"/>
        <v>-5.2941327786730215E-4</v>
      </c>
      <c r="L35" s="120">
        <f t="shared" si="116"/>
        <v>7.6513263251974054E-4</v>
      </c>
      <c r="M35" s="120">
        <f t="shared" si="116"/>
        <v>-7.5029227439091239E-4</v>
      </c>
      <c r="N35" s="120">
        <f t="shared" si="116"/>
        <v>-5.0793753441209853E-4</v>
      </c>
      <c r="O35" s="120">
        <f t="shared" si="116"/>
        <v>1.4748202763446019E-3</v>
      </c>
      <c r="P35" s="120">
        <f t="shared" si="116"/>
        <v>-1.0079218255046912E-3</v>
      </c>
      <c r="Q35" s="120">
        <f t="shared" si="116"/>
        <v>1.609881800429877E-3</v>
      </c>
      <c r="R35" s="120">
        <f t="shared" si="116"/>
        <v>3.6337043960209554E-3</v>
      </c>
      <c r="S35" s="120">
        <f t="shared" si="116"/>
        <v>2.6342865669346347E-3</v>
      </c>
      <c r="T35" s="120">
        <f t="shared" si="116"/>
        <v>2.0517351922158685E-3</v>
      </c>
      <c r="U35" s="120">
        <f t="shared" si="116"/>
        <v>2.4982576010587751E-4</v>
      </c>
      <c r="V35" s="120">
        <f t="shared" si="116"/>
        <v>-3.2139327401834832E-3</v>
      </c>
      <c r="W35" s="120">
        <f t="shared" si="116"/>
        <v>-3.2548633683894515E-3</v>
      </c>
      <c r="X35" s="120">
        <f t="shared" si="116"/>
        <v>1.8161641018160143E-3</v>
      </c>
      <c r="Y35" s="120">
        <f t="shared" si="116"/>
        <v>1.159088320838381E-4</v>
      </c>
      <c r="Z35" s="120">
        <f t="shared" si="116"/>
        <v>2.5196539058154671E-3</v>
      </c>
      <c r="AA35" s="120">
        <f t="shared" si="116"/>
        <v>2.8133014361969816E-3</v>
      </c>
      <c r="AB35" s="120">
        <f t="shared" si="116"/>
        <v>2.3142645941322806E-3</v>
      </c>
      <c r="AC35" s="120">
        <f t="shared" si="116"/>
        <v>1.4170950594476614E-3</v>
      </c>
      <c r="AD35" s="120">
        <f t="shared" si="117"/>
        <v>2.4897677770959773E-3</v>
      </c>
      <c r="AE35" s="120">
        <f t="shared" si="117"/>
        <v>2.1600147418184747E-3</v>
      </c>
      <c r="AF35" s="121">
        <f t="shared" si="117"/>
        <v>-4.204346517380525E-3</v>
      </c>
      <c r="AG35" s="121">
        <f t="shared" si="117"/>
        <v>-3.0926507399829002E-3</v>
      </c>
      <c r="AH35" s="121">
        <f t="shared" si="118"/>
        <v>-5.3532338100646514E-3</v>
      </c>
      <c r="AI35" s="121">
        <f t="shared" si="118"/>
        <v>-2.8212302048760251E-4</v>
      </c>
      <c r="AJ35" s="121">
        <f t="shared" si="118"/>
        <v>8.0189666237227321E-4</v>
      </c>
      <c r="AK35" s="121">
        <f t="shared" si="118"/>
        <v>2.9095330133961043E-3</v>
      </c>
      <c r="AL35" s="121">
        <f t="shared" si="118"/>
        <v>3.9237475412735017E-3</v>
      </c>
      <c r="AM35" s="121">
        <f t="shared" si="118"/>
        <v>-1.4187598018889774E-3</v>
      </c>
      <c r="AN35" s="121">
        <f t="shared" si="118"/>
        <v>1.4173397049137212E-3</v>
      </c>
      <c r="AO35" s="121">
        <f t="shared" si="119"/>
        <v>1.8694854324468064E-3</v>
      </c>
      <c r="AP35" s="121">
        <f t="shared" si="120"/>
        <v>3.2596219103699295E-3</v>
      </c>
      <c r="AQ35" s="121">
        <f t="shared" si="120"/>
        <v>3.0400891415333668E-3</v>
      </c>
      <c r="AR35" s="121">
        <f t="shared" si="120"/>
        <v>2.9588219903289512E-3</v>
      </c>
      <c r="AS35" s="121">
        <f t="shared" si="120"/>
        <v>1.9504085823534405E-3</v>
      </c>
      <c r="AT35" s="121">
        <f t="shared" si="121"/>
        <v>-8.4840023535709234E-4</v>
      </c>
      <c r="AU35" s="121">
        <f t="shared" si="121"/>
        <v>7.5784441573777638E-4</v>
      </c>
      <c r="AV35" s="121">
        <f t="shared" si="121"/>
        <v>1.0927162596308937E-3</v>
      </c>
      <c r="AW35" s="121">
        <f t="shared" si="121"/>
        <v>3.022478379828308E-3</v>
      </c>
      <c r="AX35" s="121">
        <f t="shared" si="121"/>
        <v>-1.0163921741955864E-4</v>
      </c>
      <c r="AY35" s="121">
        <f t="shared" si="121"/>
        <v>3.0498894924656933E-4</v>
      </c>
      <c r="AZ35" s="121">
        <f t="shared" si="121"/>
        <v>-1.9813579219838621E-3</v>
      </c>
      <c r="BA35" s="121">
        <f t="shared" si="121"/>
        <v>3.5436275981246268E-3</v>
      </c>
      <c r="BB35" s="121">
        <f t="shared" si="121"/>
        <v>4.5959197374989824E-3</v>
      </c>
      <c r="BC35" s="121">
        <f t="shared" si="121"/>
        <v>8.8351815532093873E-3</v>
      </c>
      <c r="BD35" s="2"/>
      <c r="BE35" s="2"/>
      <c r="BF35" s="2"/>
      <c r="BG35" s="2"/>
    </row>
    <row r="36" spans="1:59">
      <c r="A36" s="54" t="s">
        <v>199</v>
      </c>
      <c r="B36" s="85"/>
      <c r="C36" s="85"/>
      <c r="D36" s="85"/>
      <c r="E36" s="85"/>
      <c r="F36" s="120">
        <f t="shared" si="122"/>
        <v>-4.0254806460071624E-3</v>
      </c>
      <c r="G36" s="120">
        <f t="shared" si="116"/>
        <v>-7.3692629972874693E-3</v>
      </c>
      <c r="H36" s="120">
        <f t="shared" si="116"/>
        <v>2.3700863090604651E-4</v>
      </c>
      <c r="I36" s="120">
        <f t="shared" si="116"/>
        <v>2.0662072111526306E-3</v>
      </c>
      <c r="J36" s="120">
        <f t="shared" si="116"/>
        <v>-6.5795531440130534E-4</v>
      </c>
      <c r="K36" s="120">
        <f t="shared" si="116"/>
        <v>2.932598065388127E-3</v>
      </c>
      <c r="L36" s="120">
        <f t="shared" si="116"/>
        <v>1.2080085498108808E-3</v>
      </c>
      <c r="M36" s="120">
        <f t="shared" si="116"/>
        <v>-3.7974155951040131E-3</v>
      </c>
      <c r="N36" s="120">
        <f t="shared" si="116"/>
        <v>-4.481499411740468E-3</v>
      </c>
      <c r="O36" s="120">
        <f t="shared" si="116"/>
        <v>-2.5776571254542899E-3</v>
      </c>
      <c r="P36" s="120">
        <f t="shared" si="116"/>
        <v>-3.9982291638157516E-3</v>
      </c>
      <c r="Q36" s="120">
        <f t="shared" si="116"/>
        <v>-5.1624949313766599E-5</v>
      </c>
      <c r="R36" s="120">
        <f t="shared" si="116"/>
        <v>8.1189207484907988E-4</v>
      </c>
      <c r="S36" s="120">
        <f t="shared" si="116"/>
        <v>-1.4513428498569014E-3</v>
      </c>
      <c r="T36" s="120">
        <f t="shared" si="116"/>
        <v>5.3276220969289412E-6</v>
      </c>
      <c r="U36" s="120">
        <f t="shared" si="116"/>
        <v>1.3390007768368795E-3</v>
      </c>
      <c r="V36" s="120">
        <f t="shared" si="116"/>
        <v>-4.5374119089696234E-3</v>
      </c>
      <c r="W36" s="120">
        <f t="shared" si="116"/>
        <v>-1.7067011828941284E-3</v>
      </c>
      <c r="X36" s="120">
        <f t="shared" si="116"/>
        <v>-1.703284642538487E-3</v>
      </c>
      <c r="Y36" s="120">
        <f t="shared" si="116"/>
        <v>-3.8931459802490215E-4</v>
      </c>
      <c r="Z36" s="120">
        <f t="shared" si="116"/>
        <v>5.3355873450137321E-3</v>
      </c>
      <c r="AA36" s="120">
        <f t="shared" si="116"/>
        <v>4.7807615579905788E-3</v>
      </c>
      <c r="AB36" s="120">
        <f t="shared" si="116"/>
        <v>6.9225502706854181E-3</v>
      </c>
      <c r="AC36" s="120">
        <f t="shared" si="116"/>
        <v>5.3249271362004816E-3</v>
      </c>
      <c r="AD36" s="120">
        <f t="shared" si="117"/>
        <v>-3.4609685565931136E-4</v>
      </c>
      <c r="AE36" s="120">
        <f t="shared" si="117"/>
        <v>-1.2450242512394155E-4</v>
      </c>
      <c r="AF36" s="121">
        <f t="shared" si="117"/>
        <v>-3.2970925301047324E-3</v>
      </c>
      <c r="AG36" s="121">
        <f t="shared" si="117"/>
        <v>-5.9698167681529607E-3</v>
      </c>
      <c r="AH36" s="121">
        <f t="shared" si="118"/>
        <v>-2.5224174034156957E-3</v>
      </c>
      <c r="AI36" s="121">
        <f t="shared" si="118"/>
        <v>-1.007686143854318E-3</v>
      </c>
      <c r="AJ36" s="121">
        <f t="shared" si="118"/>
        <v>-1.0998034556553571E-3</v>
      </c>
      <c r="AK36" s="121">
        <f t="shared" si="118"/>
        <v>-5.3028239156366723E-3</v>
      </c>
      <c r="AL36" s="121">
        <f t="shared" si="118"/>
        <v>3.0194729387086894E-4</v>
      </c>
      <c r="AM36" s="121">
        <f t="shared" si="118"/>
        <v>-8.975027344826348E-3</v>
      </c>
      <c r="AN36" s="121">
        <f t="shared" si="118"/>
        <v>-6.6644208822600991E-3</v>
      </c>
      <c r="AO36" s="121">
        <f t="shared" si="119"/>
        <v>-2.4675684482561994E-3</v>
      </c>
      <c r="AP36" s="121">
        <f t="shared" si="120"/>
        <v>-5.7474956836998208E-3</v>
      </c>
      <c r="AQ36" s="121">
        <f t="shared" si="120"/>
        <v>1.1846894564109568E-3</v>
      </c>
      <c r="AR36" s="121">
        <f t="shared" si="120"/>
        <v>-4.6106271414570708E-3</v>
      </c>
      <c r="AS36" s="121">
        <f t="shared" si="120"/>
        <v>-2.0805329553883964E-3</v>
      </c>
      <c r="AT36" s="121">
        <f t="shared" si="121"/>
        <v>-2.7937205146478308E-3</v>
      </c>
      <c r="AU36" s="121">
        <f t="shared" si="121"/>
        <v>-2.7925625598307843E-3</v>
      </c>
      <c r="AV36" s="121">
        <f t="shared" si="121"/>
        <v>1.1028161193521492E-3</v>
      </c>
      <c r="AW36" s="121">
        <f t="shared" si="121"/>
        <v>-9.3849616066419422E-4</v>
      </c>
      <c r="AX36" s="121">
        <f t="shared" si="121"/>
        <v>-1.0417453567791377E-3</v>
      </c>
      <c r="AY36" s="121">
        <f t="shared" si="121"/>
        <v>3.4166940398144482E-4</v>
      </c>
      <c r="AZ36" s="121">
        <f t="shared" si="121"/>
        <v>-3.2832336809833496E-4</v>
      </c>
      <c r="BA36" s="121">
        <f t="shared" si="121"/>
        <v>1.2458357263164903E-3</v>
      </c>
      <c r="BB36" s="121">
        <f t="shared" si="121"/>
        <v>1.9418866597225443E-3</v>
      </c>
      <c r="BC36" s="121">
        <f t="shared" si="121"/>
        <v>4.0557766152839181E-4</v>
      </c>
      <c r="BD36" s="2"/>
      <c r="BE36" s="2"/>
      <c r="BF36" s="2"/>
      <c r="BG36" s="2"/>
    </row>
    <row r="37" spans="1:59">
      <c r="A37" s="54" t="s">
        <v>200</v>
      </c>
      <c r="B37" s="85"/>
      <c r="C37" s="85"/>
      <c r="D37" s="85"/>
      <c r="E37" s="85"/>
      <c r="F37" s="120">
        <f t="shared" si="122"/>
        <v>2.2464278938706617E-2</v>
      </c>
      <c r="G37" s="120">
        <f t="shared" si="116"/>
        <v>-2.4073241544850799E-3</v>
      </c>
      <c r="H37" s="120">
        <f t="shared" si="116"/>
        <v>-2.080566006018475E-2</v>
      </c>
      <c r="I37" s="120">
        <f t="shared" si="116"/>
        <v>-3.0559491771955341E-2</v>
      </c>
      <c r="J37" s="120">
        <f t="shared" si="116"/>
        <v>-4.598033101977235E-2</v>
      </c>
      <c r="K37" s="120">
        <f t="shared" si="116"/>
        <v>-1.9799864296316014E-2</v>
      </c>
      <c r="L37" s="120">
        <f t="shared" si="116"/>
        <v>-2.0783555761458752E-2</v>
      </c>
      <c r="M37" s="120">
        <f t="shared" si="116"/>
        <v>3.0208844118896905E-3</v>
      </c>
      <c r="N37" s="120">
        <f t="shared" si="116"/>
        <v>-1.4524927055834802E-3</v>
      </c>
      <c r="O37" s="120">
        <f t="shared" si="116"/>
        <v>-1.5753072710546309E-2</v>
      </c>
      <c r="P37" s="120">
        <f t="shared" si="116"/>
        <v>-9.887134419404156E-3</v>
      </c>
      <c r="Q37" s="120">
        <f t="shared" si="116"/>
        <v>-1.1785024088178248E-2</v>
      </c>
      <c r="R37" s="120">
        <f t="shared" si="116"/>
        <v>-5.494137562710999E-3</v>
      </c>
      <c r="S37" s="120">
        <f t="shared" si="116"/>
        <v>3.8953869310209555E-3</v>
      </c>
      <c r="T37" s="120">
        <f t="shared" si="116"/>
        <v>9.33859455861899E-3</v>
      </c>
      <c r="U37" s="120">
        <f t="shared" si="116"/>
        <v>1.2309307661581892E-2</v>
      </c>
      <c r="V37" s="120">
        <f t="shared" si="116"/>
        <v>8.5460920657730727E-3</v>
      </c>
      <c r="W37" s="120">
        <f t="shared" si="116"/>
        <v>3.3391432619175598E-3</v>
      </c>
      <c r="X37" s="120">
        <f t="shared" si="116"/>
        <v>1.6044025514924204E-2</v>
      </c>
      <c r="Y37" s="120">
        <f t="shared" si="116"/>
        <v>8.2066055438590607E-3</v>
      </c>
      <c r="Z37" s="120">
        <f>Z29-V29</f>
        <v>1.2781885451660258E-2</v>
      </c>
      <c r="AA37" s="120">
        <f>AA29-W29</f>
        <v>1.1402951173041936E-2</v>
      </c>
      <c r="AB37" s="120">
        <f>AB29-X29</f>
        <v>1.650867459115532E-2</v>
      </c>
      <c r="AC37" s="120">
        <f>AC29-Y29</f>
        <v>1.0751866656077302E-2</v>
      </c>
      <c r="AD37" s="120">
        <f t="shared" si="117"/>
        <v>1.5293630499670391E-2</v>
      </c>
      <c r="AE37" s="120">
        <f t="shared" si="117"/>
        <v>2.5853171278694825E-2</v>
      </c>
      <c r="AF37" s="121">
        <f t="shared" si="117"/>
        <v>-2.9088672393445814E-4</v>
      </c>
      <c r="AG37" s="121">
        <f t="shared" si="117"/>
        <v>-6.7488315623586426E-3</v>
      </c>
      <c r="AH37" s="121">
        <f t="shared" si="118"/>
        <v>-4.6998657233813412E-2</v>
      </c>
      <c r="AI37" s="121">
        <f t="shared" si="118"/>
        <v>-8.4569223153571127E-2</v>
      </c>
      <c r="AJ37" s="121">
        <f t="shared" si="118"/>
        <v>-6.5367518053526821E-2</v>
      </c>
      <c r="AK37" s="121">
        <f t="shared" si="118"/>
        <v>-5.9284784896713461E-2</v>
      </c>
      <c r="AL37" s="121">
        <f t="shared" si="118"/>
        <v>-3.8267495130609661E-2</v>
      </c>
      <c r="AM37" s="121">
        <f t="shared" si="118"/>
        <v>-5.8962322423029012E-3</v>
      </c>
      <c r="AN37" s="121">
        <f t="shared" si="118"/>
        <v>-2.0368599714565533E-2</v>
      </c>
      <c r="AO37" s="121">
        <f t="shared" si="119"/>
        <v>-1.4473581863331503E-2</v>
      </c>
      <c r="AP37" s="121">
        <f t="shared" si="120"/>
        <v>2.1770861206899528E-3</v>
      </c>
      <c r="AQ37" s="121">
        <f t="shared" si="120"/>
        <v>2.0779181781376554E-3</v>
      </c>
      <c r="AR37" s="121">
        <f t="shared" si="120"/>
        <v>5.130856768919223E-3</v>
      </c>
      <c r="AS37" s="121">
        <f t="shared" si="120"/>
        <v>1.3601367717686955E-2</v>
      </c>
      <c r="AT37" s="121">
        <f t="shared" si="121"/>
        <v>4.971482570885144E-3</v>
      </c>
      <c r="AU37" s="121">
        <f t="shared" si="121"/>
        <v>1.5256638065983416E-2</v>
      </c>
      <c r="AV37" s="121">
        <f t="shared" si="121"/>
        <v>1.827003516893981E-2</v>
      </c>
      <c r="AW37" s="121">
        <f t="shared" si="121"/>
        <v>5.9064525872104534E-3</v>
      </c>
      <c r="AX37" s="121">
        <f t="shared" si="121"/>
        <v>1.2003971762046373E-2</v>
      </c>
      <c r="AY37" s="121">
        <f t="shared" si="121"/>
        <v>-5.4111194865980733E-3</v>
      </c>
      <c r="AZ37" s="121">
        <f t="shared" si="121"/>
        <v>-4.5015040854044369E-3</v>
      </c>
      <c r="BA37" s="121">
        <f t="shared" si="121"/>
        <v>-6.3039037782761792E-3</v>
      </c>
      <c r="BB37" s="121">
        <f t="shared" si="121"/>
        <v>-8.0645607215861503E-3</v>
      </c>
      <c r="BC37" s="121">
        <f t="shared" si="121"/>
        <v>-3.3864350793141873E-4</v>
      </c>
      <c r="BD37" s="2"/>
      <c r="BE37" s="2"/>
      <c r="BF37" s="2"/>
      <c r="BG37" s="2"/>
    </row>
    <row r="38" spans="1:59">
      <c r="A38" s="2"/>
      <c r="B38" s="85"/>
      <c r="C38" s="85"/>
      <c r="D38" s="85"/>
      <c r="E38" s="85"/>
      <c r="F38" s="120"/>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2"/>
      <c r="BE38" s="2"/>
      <c r="BF38" s="2"/>
      <c r="BG38" s="2"/>
    </row>
    <row r="39" spans="1:59">
      <c r="A39" s="191" t="s">
        <v>205</v>
      </c>
      <c r="B39" s="85"/>
      <c r="C39" s="85"/>
      <c r="D39" s="85"/>
      <c r="E39" s="85"/>
      <c r="F39" s="85"/>
      <c r="G39" s="85"/>
      <c r="H39" s="85"/>
      <c r="I39" s="85"/>
      <c r="J39" s="85"/>
      <c r="K39" s="85"/>
      <c r="L39" s="85"/>
      <c r="M39" s="85"/>
      <c r="N39" s="85"/>
      <c r="O39" s="85"/>
      <c r="P39" s="85"/>
      <c r="Q39" s="85"/>
      <c r="R39" s="85"/>
      <c r="S39" s="85"/>
      <c r="T39" s="85"/>
      <c r="U39" s="85"/>
      <c r="V39" s="85"/>
      <c r="W39" s="85"/>
      <c r="X39" s="85"/>
      <c r="Y39" s="85"/>
      <c r="Z39" s="85"/>
      <c r="AA39" s="85"/>
      <c r="AB39" s="85"/>
      <c r="AC39" s="85"/>
      <c r="AD39" s="85"/>
      <c r="AE39" s="85"/>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2"/>
      <c r="BE39" s="2"/>
      <c r="BF39" s="2"/>
      <c r="BG39" s="2"/>
    </row>
    <row r="40" spans="1:59">
      <c r="A40" s="54" t="s">
        <v>196</v>
      </c>
      <c r="B40" s="85"/>
      <c r="C40" s="85"/>
      <c r="D40" s="85"/>
      <c r="E40" s="85"/>
      <c r="F40" s="114">
        <f>F7/B7-1</f>
        <v>0.21802556510435478</v>
      </c>
      <c r="G40" s="114">
        <f t="shared" ref="G40:AC45" si="123">G7/C7-1</f>
        <v>0.37508565163765928</v>
      </c>
      <c r="H40" s="114">
        <f t="shared" si="123"/>
        <v>0.27655975538351441</v>
      </c>
      <c r="I40" s="114">
        <f t="shared" si="123"/>
        <v>0.16653944020356226</v>
      </c>
      <c r="J40" s="114">
        <f t="shared" si="123"/>
        <v>0.13488675441717057</v>
      </c>
      <c r="K40" s="114">
        <f t="shared" si="123"/>
        <v>-0.11401235798285825</v>
      </c>
      <c r="L40" s="114">
        <f t="shared" si="123"/>
        <v>-0.102385077973703</v>
      </c>
      <c r="M40" s="114">
        <f t="shared" si="123"/>
        <v>1.5268840658742011E-3</v>
      </c>
      <c r="N40" s="114">
        <f t="shared" si="123"/>
        <v>-1.9591452902147255E-2</v>
      </c>
      <c r="O40" s="114">
        <f t="shared" si="123"/>
        <v>0.11074240719910011</v>
      </c>
      <c r="P40" s="114">
        <f t="shared" si="123"/>
        <v>0.15778118435246702</v>
      </c>
      <c r="Q40" s="114">
        <f t="shared" si="123"/>
        <v>9.1745616900794857E-2</v>
      </c>
      <c r="R40" s="114">
        <f t="shared" si="123"/>
        <v>4.2683576681231905E-2</v>
      </c>
      <c r="S40" s="114">
        <f t="shared" si="123"/>
        <v>4.7040356473745604E-2</v>
      </c>
      <c r="T40" s="114">
        <f t="shared" si="123"/>
        <v>-3.5994507650058849E-2</v>
      </c>
      <c r="U40" s="114">
        <f t="shared" si="123"/>
        <v>-5.4243132262729588E-2</v>
      </c>
      <c r="V40" s="114">
        <f t="shared" si="123"/>
        <v>1.0320463842183214E-2</v>
      </c>
      <c r="W40" s="114">
        <f t="shared" si="123"/>
        <v>8.3304714117516276E-2</v>
      </c>
      <c r="X40" s="114">
        <f t="shared" si="123"/>
        <v>-4.880969916532818E-2</v>
      </c>
      <c r="Y40" s="114">
        <f t="shared" si="123"/>
        <v>-5.9550196504235875E-2</v>
      </c>
      <c r="Z40" s="114">
        <f t="shared" si="123"/>
        <v>2.7943883092919952E-2</v>
      </c>
      <c r="AA40" s="114">
        <f t="shared" si="123"/>
        <v>-4.9042262731182507E-2</v>
      </c>
      <c r="AB40" s="115">
        <f t="shared" si="123"/>
        <v>-0.18226962090635002</v>
      </c>
      <c r="AC40" s="115">
        <f t="shared" si="123"/>
        <v>-5.9526654934292544E-2</v>
      </c>
      <c r="AD40" s="115">
        <f t="shared" ref="AD40:AG45" si="124">AD7/Z7-1</f>
        <v>-0.12913048123453352</v>
      </c>
      <c r="AE40" s="115">
        <f t="shared" si="124"/>
        <v>-8.423574260600053E-2</v>
      </c>
      <c r="AF40" s="116">
        <f t="shared" si="124"/>
        <v>0.33983099062692257</v>
      </c>
      <c r="AG40" s="116">
        <f t="shared" si="124"/>
        <v>0.21966074937416424</v>
      </c>
      <c r="AH40" s="116">
        <f t="shared" ref="AH40:AN45" si="125">AH7/AD7-1</f>
        <v>0.21532977068900494</v>
      </c>
      <c r="AI40" s="116">
        <f t="shared" si="125"/>
        <v>0.12285257069796218</v>
      </c>
      <c r="AJ40" s="116">
        <f t="shared" si="125"/>
        <v>7.7161706042710776E-2</v>
      </c>
      <c r="AK40" s="116">
        <f t="shared" si="125"/>
        <v>0.12858597372905578</v>
      </c>
      <c r="AL40" s="116">
        <f t="shared" si="125"/>
        <v>7.6682120123721997E-2</v>
      </c>
      <c r="AM40" s="116">
        <f t="shared" si="125"/>
        <v>9.5506036498221425E-2</v>
      </c>
      <c r="AN40" s="116">
        <f t="shared" si="125"/>
        <v>0.12558628324478138</v>
      </c>
      <c r="AO40" s="116">
        <f t="shared" ref="AO40:AO45" si="126">AO7/AK7-1</f>
        <v>-0.51449297198072597</v>
      </c>
      <c r="AP40" s="116">
        <f t="shared" ref="AP40:AS45" si="127">AP7/AL7-1</f>
        <v>-0.54184007111188492</v>
      </c>
      <c r="AQ40" s="116">
        <f t="shared" si="127"/>
        <v>-0.53620946338690412</v>
      </c>
      <c r="AR40" s="116">
        <f t="shared" si="127"/>
        <v>-0.53720097508453901</v>
      </c>
      <c r="AS40" s="116">
        <f t="shared" si="127"/>
        <v>4.0002277752700044E-2</v>
      </c>
      <c r="AT40" s="116">
        <f t="shared" ref="AT40:BC45" si="128">AT7/AP7-1</f>
        <v>0.19093321623868276</v>
      </c>
      <c r="AU40" s="116">
        <f t="shared" si="128"/>
        <v>0.23244177873520866</v>
      </c>
      <c r="AV40" s="116">
        <f t="shared" si="128"/>
        <v>0.175799882655165</v>
      </c>
      <c r="AW40" s="116">
        <f t="shared" si="128"/>
        <v>0.12609090686720048</v>
      </c>
      <c r="AX40" s="116">
        <f t="shared" si="128"/>
        <v>0.14467363469678429</v>
      </c>
      <c r="AY40" s="116">
        <f t="shared" si="128"/>
        <v>4.2164163484476047E-2</v>
      </c>
      <c r="AZ40" s="116">
        <f t="shared" si="128"/>
        <v>9.4938752285170125E-2</v>
      </c>
      <c r="BA40" s="116">
        <f t="shared" si="128"/>
        <v>0.17904589724418685</v>
      </c>
      <c r="BB40" s="116">
        <f t="shared" si="128"/>
        <v>0.10706179087200773</v>
      </c>
      <c r="BC40" s="116">
        <f t="shared" si="128"/>
        <v>6.2443835557519867E-2</v>
      </c>
      <c r="BD40" s="2"/>
      <c r="BE40" s="2"/>
      <c r="BF40" s="2"/>
      <c r="BG40" s="2"/>
    </row>
    <row r="41" spans="1:59">
      <c r="A41" s="54" t="s">
        <v>197</v>
      </c>
      <c r="B41" s="85"/>
      <c r="C41" s="85"/>
      <c r="D41" s="85"/>
      <c r="E41" s="85"/>
      <c r="F41" s="114">
        <f t="shared" ref="F41:F45" si="129">F8/B8-1</f>
        <v>6.4721689059501042E-2</v>
      </c>
      <c r="G41" s="114">
        <f t="shared" si="123"/>
        <v>8.0656730692595824E-2</v>
      </c>
      <c r="H41" s="114">
        <f t="shared" si="123"/>
        <v>8.6007030139854113E-3</v>
      </c>
      <c r="I41" s="114">
        <f t="shared" si="123"/>
        <v>-7.2311808518299436E-5</v>
      </c>
      <c r="J41" s="114">
        <f t="shared" si="123"/>
        <v>6.8358811652725615E-2</v>
      </c>
      <c r="K41" s="114">
        <f t="shared" si="123"/>
        <v>0.11748654030533223</v>
      </c>
      <c r="L41" s="114">
        <f t="shared" si="123"/>
        <v>0.13762420287705779</v>
      </c>
      <c r="M41" s="114">
        <f t="shared" si="123"/>
        <v>0.14955163436505647</v>
      </c>
      <c r="N41" s="114">
        <f t="shared" si="123"/>
        <v>0.19391198704103663</v>
      </c>
      <c r="O41" s="114">
        <f t="shared" si="123"/>
        <v>0.14308342133051744</v>
      </c>
      <c r="P41" s="114">
        <f t="shared" si="123"/>
        <v>0.15858427845131007</v>
      </c>
      <c r="Q41" s="114">
        <f t="shared" si="123"/>
        <v>0.12650981378963255</v>
      </c>
      <c r="R41" s="114">
        <f t="shared" si="123"/>
        <v>8.632483464299856E-2</v>
      </c>
      <c r="S41" s="114">
        <f t="shared" si="123"/>
        <v>0.10594688221709014</v>
      </c>
      <c r="T41" s="114">
        <f t="shared" si="123"/>
        <v>8.5400843881856536E-2</v>
      </c>
      <c r="U41" s="114">
        <f t="shared" si="123"/>
        <v>0.16769815608421257</v>
      </c>
      <c r="V41" s="114">
        <f t="shared" si="123"/>
        <v>0.11227984424437976</v>
      </c>
      <c r="W41" s="114">
        <f t="shared" si="123"/>
        <v>8.0113693243330841E-2</v>
      </c>
      <c r="X41" s="114">
        <f t="shared" si="123"/>
        <v>-2.1601265424506688E-2</v>
      </c>
      <c r="Y41" s="114">
        <f t="shared" si="123"/>
        <v>-0.15661140844665677</v>
      </c>
      <c r="Z41" s="114">
        <f t="shared" si="123"/>
        <v>-0.18093596706353465</v>
      </c>
      <c r="AA41" s="114">
        <f t="shared" si="123"/>
        <v>-0.19606866000124523</v>
      </c>
      <c r="AB41" s="115">
        <f t="shared" si="123"/>
        <v>-0.22143952856198146</v>
      </c>
      <c r="AC41" s="115">
        <f t="shared" si="123"/>
        <v>-0.18471084212636812</v>
      </c>
      <c r="AD41" s="115">
        <f t="shared" si="124"/>
        <v>-0.21124680977018095</v>
      </c>
      <c r="AE41" s="115">
        <f t="shared" si="124"/>
        <v>-0.14109693243750376</v>
      </c>
      <c r="AF41" s="116">
        <f t="shared" si="124"/>
        <v>-4.4586671086503715E-2</v>
      </c>
      <c r="AG41" s="116">
        <f t="shared" si="124"/>
        <v>-2.3962721662892705E-2</v>
      </c>
      <c r="AH41" s="116">
        <f t="shared" si="125"/>
        <v>5.6983134410759417E-2</v>
      </c>
      <c r="AI41" s="116">
        <f t="shared" si="125"/>
        <v>-7.2440753186146289E-2</v>
      </c>
      <c r="AJ41" s="116">
        <f t="shared" si="125"/>
        <v>2.3294487076819026E-2</v>
      </c>
      <c r="AK41" s="116">
        <f t="shared" si="125"/>
        <v>0.16518875743939243</v>
      </c>
      <c r="AL41" s="116">
        <f t="shared" si="125"/>
        <v>0.11431914879910932</v>
      </c>
      <c r="AM41" s="116">
        <f t="shared" si="125"/>
        <v>0.34977722912889675</v>
      </c>
      <c r="AN41" s="116">
        <f t="shared" si="125"/>
        <v>0.32096916838460032</v>
      </c>
      <c r="AO41" s="116">
        <f t="shared" si="126"/>
        <v>0.19737204960543497</v>
      </c>
      <c r="AP41" s="116">
        <f t="shared" si="127"/>
        <v>0.31249449033786214</v>
      </c>
      <c r="AQ41" s="116">
        <f t="shared" si="127"/>
        <v>0.25105615522460933</v>
      </c>
      <c r="AR41" s="116">
        <f t="shared" si="127"/>
        <v>0.20530875739484267</v>
      </c>
      <c r="AS41" s="116">
        <f t="shared" si="127"/>
        <v>0.3059041819637538</v>
      </c>
      <c r="AT41" s="116">
        <f t="shared" si="128"/>
        <v>0.25892057377198507</v>
      </c>
      <c r="AU41" s="116">
        <f t="shared" si="128"/>
        <v>0.10816519693930871</v>
      </c>
      <c r="AV41" s="116">
        <f t="shared" si="128"/>
        <v>5.2483357357855365E-3</v>
      </c>
      <c r="AW41" s="116">
        <f t="shared" si="128"/>
        <v>-9.8518438402004249E-2</v>
      </c>
      <c r="AX41" s="116">
        <f t="shared" si="128"/>
        <v>-0.10683734744823004</v>
      </c>
      <c r="AY41" s="116">
        <f t="shared" si="128"/>
        <v>-8.2679736367892165E-3</v>
      </c>
      <c r="AZ41" s="116">
        <f t="shared" si="128"/>
        <v>9.2763965529024883E-2</v>
      </c>
      <c r="BA41" s="116">
        <f t="shared" si="128"/>
        <v>0.12393721917199252</v>
      </c>
      <c r="BB41" s="116">
        <f t="shared" si="128"/>
        <v>9.3219102435228685E-2</v>
      </c>
      <c r="BC41" s="116">
        <f t="shared" si="128"/>
        <v>0.18729587109008183</v>
      </c>
      <c r="BD41" s="2"/>
      <c r="BE41" s="2"/>
      <c r="BF41" s="2"/>
      <c r="BG41" s="2"/>
    </row>
    <row r="42" spans="1:59">
      <c r="A42" s="54" t="s">
        <v>204</v>
      </c>
      <c r="B42" s="85"/>
      <c r="C42" s="85"/>
      <c r="D42" s="85"/>
      <c r="E42" s="85"/>
      <c r="F42" s="114">
        <f t="shared" si="129"/>
        <v>0.93846153846153846</v>
      </c>
      <c r="G42" s="114">
        <f t="shared" si="123"/>
        <v>1.1548945001729507</v>
      </c>
      <c r="H42" s="114">
        <f t="shared" si="123"/>
        <v>1.4348280235768112</v>
      </c>
      <c r="I42" s="114">
        <f t="shared" si="123"/>
        <v>1.2216269193074161</v>
      </c>
      <c r="J42" s="114">
        <f t="shared" si="123"/>
        <v>0.22261547261547254</v>
      </c>
      <c r="K42" s="114">
        <f t="shared" si="123"/>
        <v>0.13323060130341258</v>
      </c>
      <c r="L42" s="114">
        <f t="shared" si="123"/>
        <v>0.11628975914690209</v>
      </c>
      <c r="M42" s="114">
        <f t="shared" si="123"/>
        <v>5.5702605729074817E-2</v>
      </c>
      <c r="N42" s="114">
        <f t="shared" si="123"/>
        <v>6.4066200766104364E-2</v>
      </c>
      <c r="O42" s="114">
        <f t="shared" si="123"/>
        <v>5.0256381200600497E-2</v>
      </c>
      <c r="P42" s="114">
        <f t="shared" si="123"/>
        <v>3.6125065195311334E-2</v>
      </c>
      <c r="Q42" s="114">
        <f t="shared" si="123"/>
        <v>-2.1813015377757927E-2</v>
      </c>
      <c r="R42" s="114">
        <f t="shared" si="123"/>
        <v>2.2231382247870357E-2</v>
      </c>
      <c r="S42" s="114">
        <f t="shared" si="123"/>
        <v>3.5281741429072477E-2</v>
      </c>
      <c r="T42" s="114">
        <f t="shared" si="123"/>
        <v>4.1012054576765156E-2</v>
      </c>
      <c r="U42" s="114">
        <f t="shared" si="123"/>
        <v>4.2085300088286592E-2</v>
      </c>
      <c r="V42" s="114">
        <f t="shared" si="123"/>
        <v>3.0713635474071799E-2</v>
      </c>
      <c r="W42" s="114">
        <f t="shared" si="123"/>
        <v>-1.80315367648054E-3</v>
      </c>
      <c r="X42" s="114">
        <f t="shared" si="123"/>
        <v>1.3360360074746724E-2</v>
      </c>
      <c r="Y42" s="114">
        <f t="shared" si="123"/>
        <v>8.553580219435486E-2</v>
      </c>
      <c r="Z42" s="114">
        <f t="shared" si="123"/>
        <v>2.6268840614116051E-2</v>
      </c>
      <c r="AA42" s="114">
        <f t="shared" si="123"/>
        <v>6.348093399055621E-3</v>
      </c>
      <c r="AB42" s="115">
        <f t="shared" si="123"/>
        <v>-8.5825969877430852E-2</v>
      </c>
      <c r="AC42" s="115">
        <f t="shared" si="123"/>
        <v>-6.6567560127277048E-2</v>
      </c>
      <c r="AD42" s="115">
        <f t="shared" si="124"/>
        <v>3.1280864492069238E-3</v>
      </c>
      <c r="AE42" s="115">
        <f t="shared" si="124"/>
        <v>0.13309293343810125</v>
      </c>
      <c r="AF42" s="116">
        <f t="shared" si="124"/>
        <v>0.22638603425696635</v>
      </c>
      <c r="AG42" s="116">
        <f t="shared" si="124"/>
        <v>0.25802608323227716</v>
      </c>
      <c r="AH42" s="116">
        <f t="shared" si="125"/>
        <v>-7.0298050057668204E-2</v>
      </c>
      <c r="AI42" s="116">
        <f t="shared" si="125"/>
        <v>-0.11581212079861225</v>
      </c>
      <c r="AJ42" s="116">
        <f t="shared" si="125"/>
        <v>-0.15525758648193666</v>
      </c>
      <c r="AK42" s="116">
        <f t="shared" si="125"/>
        <v>-0.13279174579022124</v>
      </c>
      <c r="AL42" s="116">
        <f t="shared" si="125"/>
        <v>6.782622621811063E-2</v>
      </c>
      <c r="AM42" s="116">
        <f t="shared" si="125"/>
        <v>7.5041251445629786E-2</v>
      </c>
      <c r="AN42" s="116">
        <f t="shared" si="125"/>
        <v>0.11959609495212287</v>
      </c>
      <c r="AO42" s="116">
        <f t="shared" si="126"/>
        <v>0.12330720444444121</v>
      </c>
      <c r="AP42" s="116">
        <f t="shared" si="127"/>
        <v>0.11003322451408892</v>
      </c>
      <c r="AQ42" s="116">
        <f t="shared" si="127"/>
        <v>0.1249151789223073</v>
      </c>
      <c r="AR42" s="116">
        <f t="shared" si="127"/>
        <v>0.17503891090807722</v>
      </c>
      <c r="AS42" s="116">
        <f t="shared" si="127"/>
        <v>8.8690362712961601E-2</v>
      </c>
      <c r="AT42" s="116">
        <f t="shared" si="128"/>
        <v>0.13036738197099718</v>
      </c>
      <c r="AU42" s="116">
        <f t="shared" si="128"/>
        <v>8.8118157723402479E-2</v>
      </c>
      <c r="AV42" s="116">
        <f t="shared" si="128"/>
        <v>3.2157071228416934E-2</v>
      </c>
      <c r="AW42" s="116">
        <f t="shared" si="128"/>
        <v>5.5430782651929356E-2</v>
      </c>
      <c r="AX42" s="116">
        <f t="shared" si="128"/>
        <v>5.6633529254154213E-2</v>
      </c>
      <c r="AY42" s="116">
        <f t="shared" si="128"/>
        <v>9.5201662230973261E-2</v>
      </c>
      <c r="AZ42" s="116">
        <f t="shared" si="128"/>
        <v>0.1171764289286723</v>
      </c>
      <c r="BA42" s="116">
        <f t="shared" si="128"/>
        <v>0.11846784212303296</v>
      </c>
      <c r="BB42" s="116">
        <f t="shared" si="128"/>
        <v>0.12180111514834047</v>
      </c>
      <c r="BC42" s="116">
        <f t="shared" si="128"/>
        <v>9.7272525106228525E-2</v>
      </c>
      <c r="BD42" s="2"/>
      <c r="BE42" s="2"/>
      <c r="BF42" s="2"/>
      <c r="BG42" s="2"/>
    </row>
    <row r="43" spans="1:59">
      <c r="A43" s="54" t="s">
        <v>198</v>
      </c>
      <c r="B43" s="85"/>
      <c r="C43" s="85"/>
      <c r="D43" s="85"/>
      <c r="E43" s="85"/>
      <c r="F43" s="114">
        <f t="shared" si="129"/>
        <v>0.39393939393939403</v>
      </c>
      <c r="G43" s="114">
        <f t="shared" si="123"/>
        <v>-0.25974025974025972</v>
      </c>
      <c r="H43" s="114">
        <f t="shared" si="123"/>
        <v>-0.43626570915619389</v>
      </c>
      <c r="I43" s="114">
        <f t="shared" si="123"/>
        <v>0.30546623794212224</v>
      </c>
      <c r="J43" s="114">
        <f t="shared" si="123"/>
        <v>-2.4844720496894457E-2</v>
      </c>
      <c r="K43" s="114">
        <f t="shared" si="123"/>
        <v>-0.27192982456140347</v>
      </c>
      <c r="L43" s="114">
        <f t="shared" si="123"/>
        <v>0.45541401273885351</v>
      </c>
      <c r="M43" s="114">
        <f t="shared" si="123"/>
        <v>-0.16995073891625612</v>
      </c>
      <c r="N43" s="114">
        <f t="shared" si="123"/>
        <v>-0.14968152866242035</v>
      </c>
      <c r="O43" s="114">
        <f t="shared" si="123"/>
        <v>1.536144578313253</v>
      </c>
      <c r="P43" s="114">
        <f t="shared" si="123"/>
        <v>-0.24726477024070026</v>
      </c>
      <c r="Q43" s="114">
        <f t="shared" si="123"/>
        <v>0.91988130563798221</v>
      </c>
      <c r="R43" s="114">
        <f t="shared" si="123"/>
        <v>2.4756554307116105</v>
      </c>
      <c r="S43" s="114">
        <f t="shared" si="123"/>
        <v>1.1805225653206652</v>
      </c>
      <c r="T43" s="114">
        <f t="shared" si="123"/>
        <v>1.1337209302325579</v>
      </c>
      <c r="U43" s="114">
        <f t="shared" si="123"/>
        <v>0.1599971854714064</v>
      </c>
      <c r="V43" s="114">
        <f t="shared" si="123"/>
        <v>-0.56769646012931041</v>
      </c>
      <c r="W43" s="114">
        <f t="shared" si="123"/>
        <v>-0.58076083634531595</v>
      </c>
      <c r="X43" s="114">
        <f t="shared" si="123"/>
        <v>0.46675057966757483</v>
      </c>
      <c r="Y43" s="114">
        <f t="shared" si="123"/>
        <v>-4.7747438420141952E-2</v>
      </c>
      <c r="Z43" s="114">
        <f t="shared" si="123"/>
        <v>0.98254906640682194</v>
      </c>
      <c r="AA43" s="114">
        <f t="shared" si="123"/>
        <v>1.081267914002753</v>
      </c>
      <c r="AB43" s="115">
        <f t="shared" si="123"/>
        <v>0.16990592046783504</v>
      </c>
      <c r="AC43" s="115">
        <f t="shared" si="123"/>
        <v>0.15492790721161875</v>
      </c>
      <c r="AD43" s="115">
        <f t="shared" si="124"/>
        <v>0.34166750642958088</v>
      </c>
      <c r="AE43" s="115">
        <f t="shared" si="124"/>
        <v>0.32131804363670446</v>
      </c>
      <c r="AF43" s="116">
        <f t="shared" si="124"/>
        <v>-0.52022028158367795</v>
      </c>
      <c r="AG43" s="116">
        <f t="shared" si="124"/>
        <v>-0.53736757166502813</v>
      </c>
      <c r="AH43" s="116">
        <f t="shared" si="125"/>
        <v>-0.74885231476423542</v>
      </c>
      <c r="AI43" s="116">
        <f t="shared" si="125"/>
        <v>-1.0987985248672505E-2</v>
      </c>
      <c r="AJ43" s="116">
        <f t="shared" si="125"/>
        <v>0.2735858189446938</v>
      </c>
      <c r="AK43" s="116">
        <f t="shared" si="125"/>
        <v>1.4823816411658348</v>
      </c>
      <c r="AL43" s="116">
        <f t="shared" si="125"/>
        <v>2.7424768114589551</v>
      </c>
      <c r="AM43" s="116">
        <f t="shared" si="125"/>
        <v>-5.5697929910485167E-2</v>
      </c>
      <c r="AN43" s="116">
        <f t="shared" si="125"/>
        <v>0.61193834564728977</v>
      </c>
      <c r="AO43" s="116">
        <f t="shared" si="126"/>
        <v>0.47163918810160421</v>
      </c>
      <c r="AP43" s="116">
        <f t="shared" si="127"/>
        <v>0.74040415320400177</v>
      </c>
      <c r="AQ43" s="116">
        <f t="shared" si="127"/>
        <v>0.74006512617362641</v>
      </c>
      <c r="AR43" s="116">
        <f t="shared" si="127"/>
        <v>0.61674582749493334</v>
      </c>
      <c r="AS43" s="116">
        <f t="shared" si="127"/>
        <v>0.54495614641218548</v>
      </c>
      <c r="AT43" s="116">
        <f t="shared" si="128"/>
        <v>0.11885965604300219</v>
      </c>
      <c r="AU43" s="116">
        <f t="shared" si="128"/>
        <v>0.33203694743757772</v>
      </c>
      <c r="AV43" s="116">
        <f t="shared" si="128"/>
        <v>0.33423304881013571</v>
      </c>
      <c r="AW43" s="116">
        <f t="shared" si="128"/>
        <v>0.48780667850313941</v>
      </c>
      <c r="AX43" s="116">
        <f t="shared" si="128"/>
        <v>0.11680959282991377</v>
      </c>
      <c r="AY43" s="116">
        <f t="shared" si="128"/>
        <v>0.1469099679000303</v>
      </c>
      <c r="AZ43" s="116">
        <f t="shared" si="128"/>
        <v>-9.8660716872730703E-2</v>
      </c>
      <c r="BA43" s="116">
        <f t="shared" si="128"/>
        <v>0.45921946834687555</v>
      </c>
      <c r="BB43" s="116">
        <f t="shared" si="128"/>
        <v>0.73756250711643978</v>
      </c>
      <c r="BC43" s="116">
        <f t="shared" si="128"/>
        <v>1.2647822759356679</v>
      </c>
      <c r="BD43" s="2"/>
      <c r="BE43" s="2"/>
      <c r="BF43" s="2"/>
      <c r="BG43" s="2"/>
    </row>
    <row r="44" spans="1:59">
      <c r="A44" s="15" t="s">
        <v>199</v>
      </c>
      <c r="B44" s="85"/>
      <c r="C44" s="85"/>
      <c r="D44" s="85"/>
      <c r="E44" s="85"/>
      <c r="F44" s="114">
        <f t="shared" si="129"/>
        <v>-2.9674719421723394E-2</v>
      </c>
      <c r="G44" s="114">
        <f t="shared" si="123"/>
        <v>-7.3973136071637136E-2</v>
      </c>
      <c r="H44" s="114">
        <f t="shared" si="123"/>
        <v>7.8111209179170249E-2</v>
      </c>
      <c r="I44" s="114">
        <f t="shared" si="123"/>
        <v>0.12516018795386596</v>
      </c>
      <c r="J44" s="114">
        <f t="shared" si="123"/>
        <v>9.5471476181141046E-2</v>
      </c>
      <c r="K44" s="114">
        <f t="shared" si="123"/>
        <v>0.15471936094177008</v>
      </c>
      <c r="L44" s="114">
        <f t="shared" si="123"/>
        <v>0.13160049119934514</v>
      </c>
      <c r="M44" s="114">
        <f t="shared" si="123"/>
        <v>2.277904328018332E-3</v>
      </c>
      <c r="N44" s="114">
        <f t="shared" si="123"/>
        <v>-1.8969219756621358E-2</v>
      </c>
      <c r="O44" s="114">
        <f t="shared" si="123"/>
        <v>3.2040779173493572E-2</v>
      </c>
      <c r="P44" s="114">
        <f t="shared" si="123"/>
        <v>-2.3512389220473606E-3</v>
      </c>
      <c r="Q44" s="114">
        <f t="shared" si="123"/>
        <v>0.1081439393939394</v>
      </c>
      <c r="R44" s="114">
        <f t="shared" si="123"/>
        <v>0.11856986501276912</v>
      </c>
      <c r="S44" s="114">
        <f t="shared" si="123"/>
        <v>4.2159110954312906E-2</v>
      </c>
      <c r="T44" s="114">
        <f t="shared" si="123"/>
        <v>7.4873096446700593E-2</v>
      </c>
      <c r="U44" s="114">
        <f t="shared" si="123"/>
        <v>0.13096042676465558</v>
      </c>
      <c r="V44" s="114">
        <f t="shared" si="123"/>
        <v>-4.3912380300065279E-2</v>
      </c>
      <c r="W44" s="114">
        <f t="shared" si="123"/>
        <v>4.6705246220887009E-2</v>
      </c>
      <c r="X44" s="114">
        <f t="shared" si="123"/>
        <v>-3.2936080009107527E-2</v>
      </c>
      <c r="Y44" s="114">
        <f t="shared" si="123"/>
        <v>-8.4201992097424627E-2</v>
      </c>
      <c r="Z44" s="114">
        <f t="shared" si="123"/>
        <v>5.5074697498176173E-2</v>
      </c>
      <c r="AA44" s="114">
        <f t="shared" si="123"/>
        <v>-7.1046344362772906E-3</v>
      </c>
      <c r="AB44" s="115">
        <f t="shared" si="123"/>
        <v>2.6298808920490302E-2</v>
      </c>
      <c r="AC44" s="115">
        <f t="shared" si="123"/>
        <v>-7.8669931267471016E-3</v>
      </c>
      <c r="AD44" s="115">
        <f t="shared" si="124"/>
        <v>-0.13754483747632074</v>
      </c>
      <c r="AE44" s="115">
        <f t="shared" si="124"/>
        <v>-9.1189123691041818E-2</v>
      </c>
      <c r="AF44" s="116">
        <f t="shared" si="124"/>
        <v>-0.10677116372570572</v>
      </c>
      <c r="AG44" s="116">
        <f t="shared" si="124"/>
        <v>-0.11766354120812306</v>
      </c>
      <c r="AH44" s="116">
        <f t="shared" si="125"/>
        <v>-4.9826932462398776E-2</v>
      </c>
      <c r="AI44" s="116">
        <f t="shared" si="125"/>
        <v>2.4668259450906227E-3</v>
      </c>
      <c r="AJ44" s="116">
        <f t="shared" si="125"/>
        <v>3.0402308643765252E-2</v>
      </c>
      <c r="AK44" s="116">
        <f t="shared" si="125"/>
        <v>-2.6378346963887855E-2</v>
      </c>
      <c r="AL44" s="116">
        <f t="shared" si="125"/>
        <v>0.16123507697790496</v>
      </c>
      <c r="AM44" s="116">
        <f t="shared" si="125"/>
        <v>-0.10240860250894335</v>
      </c>
      <c r="AN44" s="116">
        <f t="shared" si="125"/>
        <v>4.9808666484323361E-3</v>
      </c>
      <c r="AO44" s="116">
        <f t="shared" si="126"/>
        <v>2.4764574306199716E-3</v>
      </c>
      <c r="AP44" s="116">
        <f t="shared" si="127"/>
        <v>-8.6167084962980867E-2</v>
      </c>
      <c r="AQ44" s="116">
        <f t="shared" si="127"/>
        <v>0.15232759508131766</v>
      </c>
      <c r="AR44" s="116">
        <f t="shared" si="127"/>
        <v>-8.4990228656274036E-2</v>
      </c>
      <c r="AS44" s="116">
        <f t="shared" si="127"/>
        <v>0.12489191305725278</v>
      </c>
      <c r="AT44" s="116">
        <f t="shared" si="128"/>
        <v>0.11079701259304797</v>
      </c>
      <c r="AU44" s="116">
        <f t="shared" si="128"/>
        <v>9.8767927036846892E-2</v>
      </c>
      <c r="AV44" s="116">
        <f t="shared" si="128"/>
        <v>0.25046583582399018</v>
      </c>
      <c r="AW44" s="116">
        <f t="shared" si="128"/>
        <v>7.8788786219963658E-2</v>
      </c>
      <c r="AX44" s="116">
        <f t="shared" si="128"/>
        <v>8.3359184625811711E-2</v>
      </c>
      <c r="AY44" s="116">
        <f t="shared" si="128"/>
        <v>0.12465701347010327</v>
      </c>
      <c r="AZ44" s="116">
        <f t="shared" si="128"/>
        <v>0.10000331117260419</v>
      </c>
      <c r="BA44" s="116">
        <f t="shared" si="128"/>
        <v>0.19068199235844396</v>
      </c>
      <c r="BB44" s="116">
        <f t="shared" si="128"/>
        <v>0.19277120439915008</v>
      </c>
      <c r="BC44" s="116">
        <f t="shared" si="128"/>
        <v>0.18437229300958302</v>
      </c>
      <c r="BD44" s="2"/>
      <c r="BE44" s="2"/>
      <c r="BF44" s="2"/>
      <c r="BG44" s="2"/>
    </row>
    <row r="45" spans="1:59">
      <c r="A45" s="15" t="s">
        <v>200</v>
      </c>
      <c r="B45" s="85"/>
      <c r="C45" s="85"/>
      <c r="D45" s="85"/>
      <c r="E45" s="85"/>
      <c r="F45" s="114">
        <f t="shared" si="129"/>
        <v>0.23138888888888887</v>
      </c>
      <c r="G45" s="114">
        <f t="shared" si="123"/>
        <v>0.10319148936170208</v>
      </c>
      <c r="H45" s="114">
        <f t="shared" si="123"/>
        <v>-6.8759639783073756E-2</v>
      </c>
      <c r="I45" s="114">
        <f t="shared" si="123"/>
        <v>-0.15038402457757294</v>
      </c>
      <c r="J45" s="114">
        <f t="shared" si="123"/>
        <v>-0.18551770809835322</v>
      </c>
      <c r="K45" s="114">
        <f t="shared" si="123"/>
        <v>-8.0698370806476127E-2</v>
      </c>
      <c r="L45" s="114">
        <f t="shared" si="123"/>
        <v>-6.9188438318106504E-2</v>
      </c>
      <c r="M45" s="114">
        <f t="shared" si="123"/>
        <v>0.14023986018200452</v>
      </c>
      <c r="N45" s="114">
        <f t="shared" si="123"/>
        <v>9.6659834930482358E-2</v>
      </c>
      <c r="O45" s="114">
        <f t="shared" si="123"/>
        <v>-3.2352454038535816E-2</v>
      </c>
      <c r="P45" s="114">
        <f t="shared" si="123"/>
        <v>2.3361267363104066E-2</v>
      </c>
      <c r="Q45" s="114">
        <f t="shared" si="123"/>
        <v>4.1754756871035248E-3</v>
      </c>
      <c r="R45" s="114">
        <f t="shared" si="123"/>
        <v>4.404485301545602E-2</v>
      </c>
      <c r="S45" s="114">
        <f t="shared" si="123"/>
        <v>0.12574884463969882</v>
      </c>
      <c r="T45" s="114">
        <f t="shared" si="123"/>
        <v>0.16770430197992026</v>
      </c>
      <c r="U45" s="114">
        <f t="shared" si="123"/>
        <v>0.20832353771251233</v>
      </c>
      <c r="V45" s="114">
        <f t="shared" si="123"/>
        <v>0.17792527953555881</v>
      </c>
      <c r="W45" s="114">
        <f t="shared" si="123"/>
        <v>0.13496893429405499</v>
      </c>
      <c r="X45" s="114">
        <f t="shared" si="123"/>
        <v>0.15848442066468182</v>
      </c>
      <c r="Y45" s="114">
        <f t="shared" si="123"/>
        <v>-1.3041823628903604E-2</v>
      </c>
      <c r="Z45" s="114">
        <f t="shared" si="123"/>
        <v>-1.1432861286303497E-2</v>
      </c>
      <c r="AA45" s="114">
        <f t="shared" si="123"/>
        <v>-5.1043510103200185E-2</v>
      </c>
      <c r="AB45" s="115">
        <f t="shared" si="123"/>
        <v>-5.3387098976446223E-2</v>
      </c>
      <c r="AC45" s="115">
        <f t="shared" si="123"/>
        <v>-6.7455608689327762E-2</v>
      </c>
      <c r="AD45" s="115">
        <f t="shared" si="124"/>
        <v>-3.3568586147692758E-2</v>
      </c>
      <c r="AE45" s="115">
        <f t="shared" si="124"/>
        <v>9.6598658990871833E-2</v>
      </c>
      <c r="AF45" s="116">
        <f t="shared" si="124"/>
        <v>-2.5271264432066287E-2</v>
      </c>
      <c r="AG45" s="116">
        <f t="shared" si="124"/>
        <v>-1.5018102145369805E-2</v>
      </c>
      <c r="AH45" s="116">
        <f t="shared" si="125"/>
        <v>-0.28791834925418724</v>
      </c>
      <c r="AI45" s="116">
        <f t="shared" si="125"/>
        <v>-0.53718708425719908</v>
      </c>
      <c r="AJ45" s="116">
        <f t="shared" si="125"/>
        <v>-0.40145032158386162</v>
      </c>
      <c r="AK45" s="116">
        <f t="shared" si="125"/>
        <v>-0.35004950461782425</v>
      </c>
      <c r="AL45" s="116">
        <f t="shared" si="125"/>
        <v>-0.25828578088239562</v>
      </c>
      <c r="AM45" s="116">
        <f t="shared" si="125"/>
        <v>9.5984831497696987E-2</v>
      </c>
      <c r="AN45" s="116">
        <f t="shared" si="125"/>
        <v>-5.4025984288040507E-2</v>
      </c>
      <c r="AO45" s="116">
        <f t="shared" si="126"/>
        <v>-0.1109406201242612</v>
      </c>
      <c r="AP45" s="116">
        <f t="shared" si="127"/>
        <v>0.1394538561633083</v>
      </c>
      <c r="AQ45" s="116">
        <f t="shared" si="127"/>
        <v>0.13987654201600219</v>
      </c>
      <c r="AR45" s="116">
        <f t="shared" si="127"/>
        <v>0.18732863415743561</v>
      </c>
      <c r="AS45" s="116">
        <f t="shared" si="127"/>
        <v>0.48261105904990464</v>
      </c>
      <c r="AT45" s="116">
        <f t="shared" si="128"/>
        <v>0.32225619688454343</v>
      </c>
      <c r="AU45" s="116">
        <f t="shared" si="128"/>
        <v>0.50679519665850403</v>
      </c>
      <c r="AV45" s="116">
        <f t="shared" si="128"/>
        <v>0.50944187251081141</v>
      </c>
      <c r="AW45" s="116">
        <f t="shared" si="128"/>
        <v>0.2075990286589946</v>
      </c>
      <c r="AX45" s="116">
        <f t="shared" si="128"/>
        <v>0.30840340663065624</v>
      </c>
      <c r="AY45" s="116">
        <f t="shared" si="128"/>
        <v>3.4871697649061284E-2</v>
      </c>
      <c r="AZ45" s="116">
        <f t="shared" si="128"/>
        <v>5.7647414005528752E-2</v>
      </c>
      <c r="BA45" s="116">
        <f t="shared" si="128"/>
        <v>4.5270832032979325E-2</v>
      </c>
      <c r="BB45" s="116">
        <f t="shared" si="128"/>
        <v>1.9414575933258682E-3</v>
      </c>
      <c r="BC45" s="116">
        <f t="shared" si="128"/>
        <v>0.16056455079818455</v>
      </c>
      <c r="BD45" s="2"/>
      <c r="BE45" s="2"/>
      <c r="BF45" s="2"/>
      <c r="BG45" s="2"/>
    </row>
    <row r="46" spans="1:59">
      <c r="A46" s="2"/>
      <c r="B46" s="85"/>
      <c r="C46" s="85"/>
      <c r="D46" s="85"/>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111"/>
      <c r="BD46" s="2"/>
      <c r="BE46" s="2"/>
      <c r="BF46" s="2"/>
      <c r="BG46" s="2"/>
    </row>
    <row r="47" spans="1:59">
      <c r="A47" s="2" t="s">
        <v>415</v>
      </c>
      <c r="B47" s="85"/>
      <c r="C47" s="85"/>
      <c r="D47" s="85"/>
      <c r="E47" s="85"/>
      <c r="F47" s="85"/>
      <c r="G47" s="85"/>
      <c r="H47" s="85"/>
      <c r="I47" s="114">
        <f t="shared" ref="I47:R48" si="130">I15/E15-1</f>
        <v>0.10829567670682327</v>
      </c>
      <c r="J47" s="114">
        <f t="shared" si="130"/>
        <v>-5.0785730225691328E-2</v>
      </c>
      <c r="K47" s="114">
        <f t="shared" si="130"/>
        <v>-0.11698968786751351</v>
      </c>
      <c r="L47" s="114">
        <f t="shared" si="130"/>
        <v>-0.12734083545269603</v>
      </c>
      <c r="M47" s="114">
        <f t="shared" si="130"/>
        <v>-0.14230111549130453</v>
      </c>
      <c r="N47" s="114">
        <f t="shared" si="130"/>
        <v>-1.2273154164531341E-2</v>
      </c>
      <c r="O47" s="114">
        <f t="shared" si="130"/>
        <v>3.2945798377738589E-2</v>
      </c>
      <c r="P47" s="114">
        <f t="shared" si="130"/>
        <v>9.8479381019553891E-3</v>
      </c>
      <c r="Q47" s="114">
        <f t="shared" si="130"/>
        <v>1.3384708192243577E-2</v>
      </c>
      <c r="R47" s="114">
        <f t="shared" si="130"/>
        <v>1.3804850995934759E-2</v>
      </c>
      <c r="S47" s="114">
        <f t="shared" ref="S47:AC48" si="131">S15/O15-1</f>
        <v>7.5616044811191996E-2</v>
      </c>
      <c r="T47" s="114">
        <f t="shared" si="131"/>
        <v>0.10322983512548034</v>
      </c>
      <c r="U47" s="114">
        <f t="shared" si="131"/>
        <v>0.14798237172771045</v>
      </c>
      <c r="V47" s="114">
        <f t="shared" si="131"/>
        <v>0.19845024031076508</v>
      </c>
      <c r="W47" s="114">
        <f t="shared" si="131"/>
        <v>0.13200499154057788</v>
      </c>
      <c r="X47" s="114">
        <f t="shared" si="131"/>
        <v>0.10615358521143925</v>
      </c>
      <c r="Y47" s="114">
        <f t="shared" si="131"/>
        <v>0.12101222470560513</v>
      </c>
      <c r="Z47" s="114">
        <f t="shared" si="131"/>
        <v>2.45480440102952E-3</v>
      </c>
      <c r="AA47" s="114">
        <f t="shared" si="131"/>
        <v>-3.5736494834541777E-2</v>
      </c>
      <c r="AB47" s="115">
        <f t="shared" si="131"/>
        <v>8.0991509070885037E-2</v>
      </c>
      <c r="AC47" s="115">
        <f t="shared" si="131"/>
        <v>3.5988406767013537E-2</v>
      </c>
      <c r="AD47" s="115">
        <f t="shared" ref="AD47:AG48" si="132">AD15/Z15-1</f>
        <v>0.10210357200322906</v>
      </c>
      <c r="AE47" s="115">
        <f t="shared" si="132"/>
        <v>0.19619937821985167</v>
      </c>
      <c r="AF47" s="116">
        <f t="shared" si="132"/>
        <v>0.142459071922447</v>
      </c>
      <c r="AG47" s="116">
        <f t="shared" si="132"/>
        <v>0.10698256735643952</v>
      </c>
      <c r="AH47" s="116">
        <f t="shared" ref="AH47:AN48" si="133">AH15/AD15-1</f>
        <v>0.46446892080519175</v>
      </c>
      <c r="AI47" s="116">
        <f t="shared" si="133"/>
        <v>0.42919196527156767</v>
      </c>
      <c r="AJ47" s="116">
        <f t="shared" si="133"/>
        <v>0.36172351201221908</v>
      </c>
      <c r="AK47" s="116">
        <f t="shared" si="133"/>
        <v>0.3464586671461376</v>
      </c>
      <c r="AL47" s="116">
        <f t="shared" si="133"/>
        <v>2.1855632636528455E-2</v>
      </c>
      <c r="AM47" s="116">
        <f t="shared" si="133"/>
        <v>4.8213344565831484E-2</v>
      </c>
      <c r="AN47" s="116">
        <f t="shared" si="133"/>
        <v>8.2183267533506577E-2</v>
      </c>
      <c r="AO47" s="116">
        <f t="shared" ref="AO47:AS48" si="134">AO15/AK15-1</f>
        <v>0.10959722223190904</v>
      </c>
      <c r="AP47" s="116">
        <f t="shared" si="134"/>
        <v>0.10424555290426007</v>
      </c>
      <c r="AQ47" s="116">
        <f t="shared" si="134"/>
        <v>0.15097093682715901</v>
      </c>
      <c r="AR47" s="116">
        <f t="shared" si="134"/>
        <v>0.15578519083487641</v>
      </c>
      <c r="AS47" s="116">
        <f t="shared" si="134"/>
        <v>0.16063752106079376</v>
      </c>
      <c r="AT47" s="116">
        <f t="shared" ref="AT47:BC48" si="135">AT15/AP15-1</f>
        <v>0.16140715378664172</v>
      </c>
      <c r="AU47" s="116">
        <f t="shared" si="135"/>
        <v>9.1019908429736507E-2</v>
      </c>
      <c r="AV47" s="116">
        <f t="shared" si="135"/>
        <v>6.0162395336713637E-2</v>
      </c>
      <c r="AW47" s="116">
        <f t="shared" si="135"/>
        <v>6.2843486684612593E-2</v>
      </c>
      <c r="AX47" s="116">
        <f t="shared" si="135"/>
        <v>6.9984430377244777E-2</v>
      </c>
      <c r="AY47" s="116">
        <f t="shared" si="135"/>
        <v>8.6502653470411861E-2</v>
      </c>
      <c r="AZ47" s="116">
        <f t="shared" si="135"/>
        <v>0.10306733184997197</v>
      </c>
      <c r="BA47" s="116">
        <f t="shared" si="135"/>
        <v>0.11768166835630001</v>
      </c>
      <c r="BB47" s="116">
        <f t="shared" si="135"/>
        <v>0.1195206109185325</v>
      </c>
      <c r="BC47" s="116">
        <f t="shared" si="135"/>
        <v>0.14894282055208041</v>
      </c>
      <c r="BD47" s="2"/>
      <c r="BE47" s="2"/>
      <c r="BF47" s="2"/>
      <c r="BG47" s="2"/>
    </row>
    <row r="48" spans="1:59">
      <c r="A48" s="2" t="s">
        <v>416</v>
      </c>
      <c r="B48" s="85"/>
      <c r="C48" s="85"/>
      <c r="D48" s="85"/>
      <c r="E48" s="85"/>
      <c r="F48" s="85"/>
      <c r="G48" s="85"/>
      <c r="H48" s="85"/>
      <c r="I48" s="114">
        <f t="shared" si="130"/>
        <v>0.20522200958009718</v>
      </c>
      <c r="J48" s="114">
        <f t="shared" si="130"/>
        <v>6.085428911858437E-2</v>
      </c>
      <c r="K48" s="114">
        <f t="shared" si="130"/>
        <v>1.7956788323806094E-2</v>
      </c>
      <c r="L48" s="114">
        <f t="shared" si="130"/>
        <v>-4.0529021213700278E-2</v>
      </c>
      <c r="M48" s="114">
        <f t="shared" si="130"/>
        <v>-5.0068755136547405E-2</v>
      </c>
      <c r="N48" s="114">
        <f t="shared" si="130"/>
        <v>3.1920203116326151E-2</v>
      </c>
      <c r="O48" s="114">
        <f t="shared" si="130"/>
        <v>2.0365166198220042E-2</v>
      </c>
      <c r="P48" s="114">
        <f t="shared" si="130"/>
        <v>0.20990186036659586</v>
      </c>
      <c r="Q48" s="114">
        <f t="shared" si="130"/>
        <v>0.47616403799602725</v>
      </c>
      <c r="R48" s="114">
        <f t="shared" si="130"/>
        <v>0.60922842810217337</v>
      </c>
      <c r="S48" s="114">
        <f t="shared" si="131"/>
        <v>1.0143889961859638</v>
      </c>
      <c r="T48" s="114">
        <f t="shared" si="131"/>
        <v>0.9959645876156844</v>
      </c>
      <c r="U48" s="114">
        <f t="shared" si="131"/>
        <v>0.96582134296085553</v>
      </c>
      <c r="V48" s="114">
        <f t="shared" si="131"/>
        <v>1.0060406962109276</v>
      </c>
      <c r="W48" s="114">
        <f t="shared" si="131"/>
        <v>0.65514959233773418</v>
      </c>
      <c r="X48" s="114">
        <f t="shared" si="131"/>
        <v>0.59723981058904219</v>
      </c>
      <c r="Y48" s="114">
        <f t="shared" si="131"/>
        <v>0.37969059231866087</v>
      </c>
      <c r="Z48" s="114">
        <f t="shared" si="131"/>
        <v>0.22699070350581052</v>
      </c>
      <c r="AA48" s="114">
        <f t="shared" si="131"/>
        <v>0.18869981729269125</v>
      </c>
      <c r="AB48" s="115">
        <f t="shared" si="131"/>
        <v>9.4961647100772595E-2</v>
      </c>
      <c r="AC48" s="115">
        <f t="shared" si="131"/>
        <v>8.3561938400330549E-2</v>
      </c>
      <c r="AD48" s="115">
        <f t="shared" si="132"/>
        <v>0.13610844789757182</v>
      </c>
      <c r="AE48" s="115">
        <f t="shared" si="132"/>
        <v>0.1338322787988222</v>
      </c>
      <c r="AF48" s="116">
        <f t="shared" si="132"/>
        <v>9.8536186143899585E-2</v>
      </c>
      <c r="AG48" s="116">
        <f t="shared" si="132"/>
        <v>8.4706296239947187E-2</v>
      </c>
      <c r="AH48" s="116">
        <f t="shared" si="133"/>
        <v>-2.3084752206395831E-2</v>
      </c>
      <c r="AI48" s="116">
        <f t="shared" si="133"/>
        <v>4.7929283030956782E-2</v>
      </c>
      <c r="AJ48" s="116">
        <f t="shared" si="133"/>
        <v>3.3382264019343966E-2</v>
      </c>
      <c r="AK48" s="116">
        <f t="shared" si="133"/>
        <v>1.453159824231931E-2</v>
      </c>
      <c r="AL48" s="116">
        <f t="shared" si="133"/>
        <v>4.6743753738576421E-2</v>
      </c>
      <c r="AM48" s="116">
        <f t="shared" si="133"/>
        <v>-1.881469583147799E-2</v>
      </c>
      <c r="AN48" s="116">
        <f t="shared" si="133"/>
        <v>-1.6202732792075514E-3</v>
      </c>
      <c r="AO48" s="116">
        <f t="shared" si="134"/>
        <v>-1.1239722651973927E-2</v>
      </c>
      <c r="AP48" s="116">
        <f t="shared" si="134"/>
        <v>2.2347483954558767E-2</v>
      </c>
      <c r="AQ48" s="116">
        <f t="shared" si="134"/>
        <v>9.867886714649643E-2</v>
      </c>
      <c r="AR48" s="116">
        <f t="shared" si="134"/>
        <v>0.12501846038243003</v>
      </c>
      <c r="AS48" s="116">
        <f t="shared" si="134"/>
        <v>0.13184492023854544</v>
      </c>
      <c r="AT48" s="116">
        <f t="shared" si="135"/>
        <v>0.11912281458391272</v>
      </c>
      <c r="AU48" s="116">
        <f t="shared" si="135"/>
        <v>3.1877078179338492E-2</v>
      </c>
      <c r="AV48" s="116">
        <f t="shared" si="135"/>
        <v>5.8586216610601483E-2</v>
      </c>
      <c r="AW48" s="116">
        <f t="shared" si="135"/>
        <v>5.789014207433274E-2</v>
      </c>
      <c r="AX48" s="116">
        <f t="shared" si="135"/>
        <v>6.9350322057169178E-2</v>
      </c>
      <c r="AY48" s="116">
        <f t="shared" si="135"/>
        <v>0.12956362877215288</v>
      </c>
      <c r="AZ48" s="116">
        <f t="shared" si="135"/>
        <v>0.1615625335921469</v>
      </c>
      <c r="BA48" s="116">
        <f t="shared" si="135"/>
        <v>0.19714837285268882</v>
      </c>
      <c r="BB48" s="116">
        <f t="shared" si="135"/>
        <v>0.22699929563726196</v>
      </c>
      <c r="BC48" s="116">
        <f t="shared" si="135"/>
        <v>0.20622084706824362</v>
      </c>
      <c r="BD48" s="2"/>
      <c r="BE48" s="2"/>
      <c r="BF48" s="2"/>
      <c r="BG48" s="2"/>
    </row>
    <row r="49" spans="1:59">
      <c r="A49" s="2"/>
      <c r="B49" s="85"/>
      <c r="C49" s="85"/>
      <c r="D49" s="85"/>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111"/>
      <c r="AG49" s="111"/>
      <c r="AH49" s="111"/>
      <c r="AI49" s="111"/>
      <c r="AJ49" s="111"/>
      <c r="AK49" s="111"/>
      <c r="AL49" s="111"/>
      <c r="AM49" s="111"/>
      <c r="AN49" s="111"/>
      <c r="AO49" s="111"/>
      <c r="AP49" s="111"/>
      <c r="AQ49" s="111"/>
      <c r="AR49" s="111"/>
      <c r="AS49" s="111"/>
      <c r="AT49" s="111"/>
      <c r="AU49" s="111"/>
      <c r="AV49" s="111"/>
      <c r="AW49" s="111"/>
      <c r="AX49" s="111"/>
      <c r="AY49" s="111"/>
      <c r="AZ49" s="111"/>
      <c r="BA49" s="111"/>
      <c r="BB49" s="111"/>
      <c r="BC49" s="111"/>
      <c r="BD49" s="2"/>
      <c r="BE49" s="2"/>
      <c r="BF49" s="2"/>
      <c r="BG49" s="2"/>
    </row>
    <row r="50" spans="1:59">
      <c r="A50" s="2"/>
      <c r="B50" s="85"/>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111"/>
      <c r="AF50" s="111"/>
      <c r="AG50" s="111"/>
      <c r="AH50" s="111"/>
      <c r="AI50" s="111"/>
      <c r="AJ50" s="111"/>
      <c r="AK50" s="111"/>
      <c r="AL50" s="111"/>
      <c r="AM50" s="111"/>
      <c r="AN50" s="111"/>
      <c r="AO50" s="111"/>
      <c r="AP50" s="111"/>
      <c r="AQ50" s="111"/>
      <c r="AR50" s="111"/>
      <c r="AS50" s="111"/>
      <c r="AT50" s="111"/>
      <c r="AU50" s="111"/>
      <c r="AV50" s="111"/>
      <c r="AW50" s="111"/>
      <c r="AX50" s="111"/>
      <c r="AY50" s="111"/>
      <c r="AZ50" s="111"/>
      <c r="BA50" s="111"/>
      <c r="BB50" s="111"/>
      <c r="BC50" s="111"/>
      <c r="BD50" s="2"/>
      <c r="BE50" s="2"/>
      <c r="BF50" s="2"/>
      <c r="BG50" s="2"/>
    </row>
    <row r="51" spans="1:59">
      <c r="A51" s="2"/>
      <c r="B51" s="85"/>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B51" s="85"/>
      <c r="AC51" s="85"/>
      <c r="AD51" s="85"/>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2"/>
      <c r="BE51" s="2"/>
      <c r="BF51" s="2"/>
      <c r="BG51" s="2"/>
    </row>
    <row r="52" spans="1:59">
      <c r="A52" s="2"/>
      <c r="B52" s="85"/>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2"/>
      <c r="BE52" s="2"/>
      <c r="BF52" s="2"/>
      <c r="BG52" s="2"/>
    </row>
    <row r="53" spans="1:59">
      <c r="A53" s="2"/>
      <c r="B53" s="85"/>
      <c r="C53" s="85"/>
      <c r="D53" s="85"/>
      <c r="E53" s="85"/>
      <c r="F53" s="85"/>
      <c r="G53" s="85"/>
      <c r="H53" s="85"/>
      <c r="I53" s="85"/>
      <c r="J53" s="85"/>
      <c r="K53" s="85"/>
      <c r="L53" s="85"/>
      <c r="M53" s="85"/>
      <c r="N53" s="85"/>
      <c r="O53" s="85"/>
      <c r="P53" s="85"/>
      <c r="Q53" s="85"/>
      <c r="R53" s="85"/>
      <c r="S53" s="85"/>
      <c r="T53" s="85"/>
      <c r="U53" s="85"/>
      <c r="V53" s="85"/>
      <c r="W53" s="85"/>
      <c r="X53" s="85"/>
      <c r="Y53" s="85"/>
      <c r="Z53" s="85"/>
      <c r="AA53" s="85"/>
      <c r="AB53" s="85"/>
      <c r="AC53" s="85"/>
      <c r="AD53" s="85"/>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2"/>
      <c r="BE53" s="2"/>
      <c r="BF53" s="2"/>
      <c r="BG53" s="2"/>
    </row>
    <row r="54" spans="1:59">
      <c r="A54" s="2"/>
      <c r="B54" s="85"/>
      <c r="C54" s="85"/>
      <c r="D54" s="85"/>
      <c r="E54" s="85"/>
      <c r="F54" s="85"/>
      <c r="G54" s="85"/>
      <c r="H54" s="85"/>
      <c r="I54" s="85"/>
      <c r="J54" s="85"/>
      <c r="K54" s="85"/>
      <c r="L54" s="85"/>
      <c r="M54" s="85"/>
      <c r="N54" s="85"/>
      <c r="O54" s="85"/>
      <c r="P54" s="85"/>
      <c r="Q54" s="85"/>
      <c r="R54" s="85"/>
      <c r="S54" s="85"/>
      <c r="T54" s="85"/>
      <c r="U54" s="85"/>
      <c r="V54" s="85"/>
      <c r="W54" s="85"/>
      <c r="X54" s="85"/>
      <c r="Y54" s="85"/>
      <c r="Z54" s="85"/>
      <c r="AA54" s="85"/>
      <c r="AB54" s="85"/>
      <c r="AC54" s="85"/>
      <c r="AD54" s="85"/>
      <c r="AE54" s="111"/>
      <c r="AF54" s="111"/>
      <c r="AG54" s="111"/>
      <c r="AH54" s="111"/>
      <c r="AI54" s="111"/>
      <c r="AJ54" s="111"/>
      <c r="AK54" s="111"/>
      <c r="AL54" s="111"/>
      <c r="AM54" s="111"/>
      <c r="AN54" s="111"/>
      <c r="AO54" s="111"/>
      <c r="AP54" s="111"/>
      <c r="AQ54" s="111"/>
      <c r="AR54" s="111"/>
      <c r="AS54" s="111"/>
      <c r="AT54" s="111"/>
      <c r="AU54" s="111"/>
      <c r="AV54" s="111"/>
      <c r="AW54" s="111"/>
      <c r="AX54" s="111"/>
      <c r="AY54" s="111"/>
      <c r="AZ54" s="111"/>
      <c r="BA54" s="111"/>
      <c r="BB54" s="111"/>
      <c r="BC54" s="111"/>
      <c r="BD54" s="2"/>
      <c r="BE54" s="2"/>
      <c r="BF54" s="2"/>
      <c r="BG54" s="2"/>
    </row>
    <row r="55" spans="1:59">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2"/>
      <c r="BE55" s="2"/>
      <c r="BF55" s="2"/>
      <c r="BG55" s="2"/>
    </row>
    <row r="56" spans="1:59">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2"/>
      <c r="BE56" s="2"/>
      <c r="BF56" s="2"/>
      <c r="BG56" s="2"/>
    </row>
    <row r="57" spans="1:59">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2"/>
      <c r="BE57" s="2"/>
      <c r="BF57" s="2"/>
      <c r="BG57" s="2"/>
    </row>
    <row r="58" spans="1:59">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2"/>
      <c r="BE58" s="2"/>
      <c r="BF58" s="2"/>
      <c r="BG58" s="2"/>
    </row>
    <row r="59" spans="1:59">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2"/>
      <c r="BE59" s="2"/>
      <c r="BF59" s="2"/>
      <c r="BG59" s="2"/>
    </row>
    <row r="60" spans="1:59">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2"/>
      <c r="BE60" s="2"/>
      <c r="BF60" s="2"/>
      <c r="BG60" s="2"/>
    </row>
    <row r="61" spans="1:59">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2"/>
      <c r="BE61" s="2"/>
      <c r="BF61" s="2"/>
      <c r="BG61"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F141"/>
  <sheetViews>
    <sheetView showGridLines="0" zoomScale="70" zoomScaleNormal="70" workbookViewId="0">
      <pane xSplit="1" ySplit="1" topLeftCell="AW64" activePane="bottomRight" state="frozen"/>
      <selection activeCell="BA80" sqref="BA80"/>
      <selection pane="topRight" activeCell="BA80" sqref="BA80"/>
      <selection pane="bottomLeft" activeCell="BA80" sqref="BA80"/>
      <selection pane="bottomRight" activeCell="BC17" sqref="BC17"/>
    </sheetView>
  </sheetViews>
  <sheetFormatPr defaultColWidth="9.234375" defaultRowHeight="15.35"/>
  <cols>
    <col min="1" max="1" width="51.76171875" style="6" bestFit="1" customWidth="1"/>
    <col min="2" max="2" width="13.234375" style="36" bestFit="1" customWidth="1"/>
    <col min="3" max="13" width="13.76171875" style="36" bestFit="1" customWidth="1"/>
    <col min="14" max="14" width="14.234375" style="36" bestFit="1" customWidth="1"/>
    <col min="15" max="17" width="13.76171875" style="36" bestFit="1" customWidth="1"/>
    <col min="18" max="24" width="14.234375" style="36" bestFit="1" customWidth="1"/>
    <col min="25" max="25" width="14.41015625" style="36" bestFit="1" customWidth="1"/>
    <col min="26" max="28" width="14.234375" style="36" bestFit="1" customWidth="1"/>
    <col min="29" max="29" width="13.76171875" style="36" bestFit="1" customWidth="1"/>
    <col min="30" max="30" width="14.234375" style="36" bestFit="1" customWidth="1"/>
    <col min="31" max="40" width="14.234375" style="122" bestFit="1" customWidth="1"/>
    <col min="41" max="42" width="13.76171875" style="122" bestFit="1" customWidth="1"/>
    <col min="43" max="43" width="14.234375" style="122" bestFit="1" customWidth="1"/>
    <col min="44" max="44" width="13.76171875" style="122" bestFit="1" customWidth="1"/>
    <col min="45" max="55" width="14.76171875" style="122" bestFit="1" customWidth="1"/>
    <col min="56" max="56" width="6" style="6" customWidth="1"/>
    <col min="57" max="57" width="85" style="6" bestFit="1" customWidth="1"/>
    <col min="58" max="16384" width="9.234375" style="6"/>
  </cols>
  <sheetData>
    <row r="1" spans="1:58" s="30" customFormat="1">
      <c r="A1" s="508" t="s">
        <v>27</v>
      </c>
      <c r="B1" s="518" t="s">
        <v>0</v>
      </c>
      <c r="C1" s="518" t="s">
        <v>1</v>
      </c>
      <c r="D1" s="518" t="s">
        <v>2</v>
      </c>
      <c r="E1" s="516" t="str">
        <f>'Reported Group Profit and Loss'!E1</f>
        <v>4Q12</v>
      </c>
      <c r="F1" s="516" t="str">
        <f>'Reported Group Profit and Loss'!F1</f>
        <v>1Q13</v>
      </c>
      <c r="G1" s="516" t="str">
        <f>'Reported Group Profit and Loss'!G1</f>
        <v>2Q13</v>
      </c>
      <c r="H1" s="516" t="str">
        <f>'Reported Group Profit and Loss'!H1</f>
        <v>3Q13</v>
      </c>
      <c r="I1" s="516" t="str">
        <f>'Reported Group Profit and Loss'!I1</f>
        <v>4Q13</v>
      </c>
      <c r="J1" s="516" t="str">
        <f>'Reported Group Profit and Loss'!J1</f>
        <v>1Q14</v>
      </c>
      <c r="K1" s="516" t="str">
        <f>'Reported Group Profit and Loss'!K1</f>
        <v>2Q14</v>
      </c>
      <c r="L1" s="516" t="str">
        <f>'Reported Group Profit and Loss'!L1</f>
        <v>3Q14</v>
      </c>
      <c r="M1" s="516" t="str">
        <f>'Reported Group Profit and Loss'!M1</f>
        <v>4Q14</v>
      </c>
      <c r="N1" s="516" t="str">
        <f>'Reported Group Profit and Loss'!N1</f>
        <v>1Q15</v>
      </c>
      <c r="O1" s="516" t="str">
        <f>'Reported Group Profit and Loss'!O1</f>
        <v>2Q15</v>
      </c>
      <c r="P1" s="516" t="str">
        <f>'Reported Group Profit and Loss'!P1</f>
        <v>3Q15</v>
      </c>
      <c r="Q1" s="516" t="str">
        <f>'Reported Group Profit and Loss'!Q1</f>
        <v>4Q15</v>
      </c>
      <c r="R1" s="516" t="str">
        <f>'Reported Group Profit and Loss'!R1</f>
        <v>1Q16</v>
      </c>
      <c r="S1" s="516" t="str">
        <f>'Reported Group Profit and Loss'!S1</f>
        <v>2Q16</v>
      </c>
      <c r="T1" s="516" t="str">
        <f>'Reported Group Profit and Loss'!T1</f>
        <v>3Q16</v>
      </c>
      <c r="U1" s="516" t="str">
        <f>'Reported Group Profit and Loss'!U1</f>
        <v>4Q16</v>
      </c>
      <c r="V1" s="516" t="str">
        <f>'Reported Group Profit and Loss'!V1</f>
        <v>1Q17</v>
      </c>
      <c r="W1" s="516" t="str">
        <f>'Reported Group Profit and Loss'!W1</f>
        <v>2Q17</v>
      </c>
      <c r="X1" s="516" t="str">
        <f>'Reported Group Profit and Loss'!X1</f>
        <v>3Q17</v>
      </c>
      <c r="Y1" s="516" t="str">
        <f>'Reported Group Profit and Loss'!Y1</f>
        <v>4Q17</v>
      </c>
      <c r="Z1" s="516" t="str">
        <f>'Reported Group Profit and Loss'!Z1</f>
        <v>1Q18</v>
      </c>
      <c r="AA1" s="516" t="str">
        <f>'Reported Group Profit and Loss'!AA1</f>
        <v>2Q18</v>
      </c>
      <c r="AB1" s="516" t="str">
        <f>'Reported Group Profit and Loss'!AB1</f>
        <v>3Q18</v>
      </c>
      <c r="AC1" s="516" t="str">
        <f>'Reported Group Profit and Loss'!AC1</f>
        <v>4Q18</v>
      </c>
      <c r="AD1" s="516" t="str">
        <f>'Reported Group Profit and Loss'!AD1</f>
        <v>1Q19</v>
      </c>
      <c r="AE1" s="516" t="str">
        <f>'Reported Group Profit and Loss'!AE1</f>
        <v>2Q19</v>
      </c>
      <c r="AF1" s="516" t="str">
        <f>'Reported Group Profit and Loss'!AF1</f>
        <v>3Q19</v>
      </c>
      <c r="AG1" s="516" t="str">
        <f>'Reported Group Profit and Loss'!AG1</f>
        <v>4Q19</v>
      </c>
      <c r="AH1" s="516" t="str">
        <f>'Reported Group Profit and Loss'!AH1</f>
        <v>1Q20</v>
      </c>
      <c r="AI1" s="516" t="str">
        <f>'Reported Group Profit and Loss'!AI1</f>
        <v>2Q20</v>
      </c>
      <c r="AJ1" s="516" t="str">
        <f>'Reported Group Profit and Loss'!AJ1</f>
        <v>3Q20</v>
      </c>
      <c r="AK1" s="516" t="str">
        <f>'Reported Group Profit and Loss'!AK1</f>
        <v>4Q20</v>
      </c>
      <c r="AL1" s="516" t="str">
        <f>'Reported Group Profit and Loss'!AL1</f>
        <v>1Q21</v>
      </c>
      <c r="AM1" s="516" t="str">
        <f>'Reported Group Profit and Loss'!AM1</f>
        <v>2Q21</v>
      </c>
      <c r="AN1" s="516" t="str">
        <f>'Reported Group Profit and Loss'!AN1</f>
        <v>3Q21</v>
      </c>
      <c r="AO1" s="516" t="str">
        <f>'Reported Group Profit and Loss'!AO1</f>
        <v>4Q21</v>
      </c>
      <c r="AP1" s="516" t="str">
        <f>'Reported Group Profit and Loss'!AP1</f>
        <v>1Q22</v>
      </c>
      <c r="AQ1" s="516" t="str">
        <f>'Reported Group Profit and Loss'!AQ1</f>
        <v>2Q22</v>
      </c>
      <c r="AR1" s="516" t="str">
        <f>'Reported Group Profit and Loss'!AR1</f>
        <v>3Q22</v>
      </c>
      <c r="AS1" s="516" t="str">
        <f>'Reported Group Profit and Loss'!AS1</f>
        <v>4Q22</v>
      </c>
      <c r="AT1" s="516" t="str">
        <f>'Reported Group Profit and Loss'!AT1</f>
        <v>1Q23</v>
      </c>
      <c r="AU1" s="516" t="str">
        <f>'Reported Group Profit and Loss'!AU1</f>
        <v>2Q23</v>
      </c>
      <c r="AV1" s="516" t="str">
        <f>'Reported Group Profit and Loss'!AV1</f>
        <v>3Q23</v>
      </c>
      <c r="AW1" s="516" t="str">
        <f>'Reported Group Profit and Loss'!AW1</f>
        <v>4Q23</v>
      </c>
      <c r="AX1" s="516" t="str">
        <f>'Reported Group Profit and Loss'!AX1</f>
        <v>1Q24</v>
      </c>
      <c r="AY1" s="516" t="str">
        <f>'Reported Group Profit and Loss'!AY1</f>
        <v>2Q24</v>
      </c>
      <c r="AZ1" s="516" t="str">
        <f>'Reported Group Profit and Loss'!AZ1</f>
        <v>3Q24</v>
      </c>
      <c r="BA1" s="516" t="str">
        <f>'Reported Group Profit and Loss'!BA1</f>
        <v>4Q24</v>
      </c>
      <c r="BB1" s="516" t="str">
        <f>'Reported Group Profit and Loss'!BB1</f>
        <v>1Q25</v>
      </c>
      <c r="BC1" s="516" t="str">
        <f>'Reported Group Profit and Loss'!BC1</f>
        <v>2Q25</v>
      </c>
      <c r="BD1" s="508"/>
      <c r="BE1" s="508" t="s">
        <v>209</v>
      </c>
    </row>
    <row r="2" spans="1:58" s="30" customFormat="1">
      <c r="A2" s="508" t="s">
        <v>97</v>
      </c>
      <c r="B2" s="518"/>
      <c r="C2" s="518"/>
      <c r="D2" s="518"/>
      <c r="E2" s="518"/>
      <c r="F2" s="518"/>
      <c r="G2" s="518"/>
      <c r="H2" s="518"/>
      <c r="I2" s="518"/>
      <c r="J2" s="518"/>
      <c r="K2" s="518"/>
      <c r="L2" s="518"/>
      <c r="M2" s="518"/>
      <c r="N2" s="518"/>
      <c r="O2" s="518"/>
      <c r="P2" s="518"/>
      <c r="Q2" s="518"/>
      <c r="R2" s="518"/>
      <c r="S2" s="518"/>
      <c r="T2" s="518"/>
      <c r="U2" s="518"/>
      <c r="V2" s="518"/>
      <c r="W2" s="518"/>
      <c r="X2" s="518"/>
      <c r="Y2" s="518"/>
      <c r="Z2" s="518"/>
      <c r="AA2" s="518"/>
      <c r="AB2" s="518"/>
      <c r="AC2" s="518"/>
      <c r="AD2" s="518"/>
      <c r="AE2" s="518"/>
      <c r="AF2" s="516"/>
      <c r="AG2" s="516"/>
      <c r="AH2" s="516"/>
      <c r="AI2" s="516"/>
      <c r="AJ2" s="516"/>
      <c r="AK2" s="516"/>
      <c r="AL2" s="516"/>
      <c r="AM2" s="516"/>
      <c r="AN2" s="516"/>
      <c r="AO2" s="516"/>
      <c r="AP2" s="516"/>
      <c r="AQ2" s="516"/>
      <c r="AR2" s="516"/>
      <c r="AS2" s="516"/>
      <c r="AT2" s="516"/>
      <c r="AU2" s="516"/>
      <c r="AV2" s="516"/>
      <c r="AW2" s="516"/>
      <c r="AX2" s="516"/>
      <c r="AY2" s="516"/>
      <c r="AZ2" s="516"/>
      <c r="BA2" s="516"/>
      <c r="BB2" s="516"/>
      <c r="BC2" s="516"/>
      <c r="BD2" s="508"/>
      <c r="BE2" s="508"/>
    </row>
    <row r="3" spans="1:58" ht="15.7" thickBot="1">
      <c r="A3" s="2"/>
      <c r="B3" s="321"/>
      <c r="C3" s="321"/>
      <c r="D3" s="321"/>
      <c r="E3" s="321"/>
      <c r="F3" s="321"/>
      <c r="G3" s="321"/>
      <c r="H3" s="321"/>
      <c r="I3" s="321"/>
      <c r="J3" s="321"/>
      <c r="K3" s="321"/>
      <c r="L3" s="321"/>
      <c r="M3" s="321"/>
      <c r="N3" s="321"/>
      <c r="O3" s="321"/>
      <c r="P3" s="321"/>
      <c r="Q3" s="321"/>
      <c r="R3" s="321"/>
      <c r="S3" s="321"/>
      <c r="T3" s="321"/>
      <c r="U3" s="321"/>
      <c r="V3" s="321"/>
      <c r="W3" s="321"/>
      <c r="X3" s="321"/>
      <c r="Y3" s="321"/>
      <c r="Z3" s="321"/>
      <c r="AA3" s="321"/>
      <c r="AB3" s="321"/>
      <c r="AC3" s="321"/>
      <c r="AD3" s="321"/>
      <c r="AE3" s="321"/>
      <c r="AF3" s="322"/>
      <c r="AG3" s="322"/>
      <c r="AH3" s="322"/>
      <c r="AI3" s="322"/>
      <c r="AJ3" s="322"/>
      <c r="AK3" s="322"/>
      <c r="AL3" s="322"/>
      <c r="AM3" s="322"/>
      <c r="AN3" s="322"/>
      <c r="AO3" s="322"/>
      <c r="AP3" s="322"/>
      <c r="AQ3" s="322"/>
      <c r="AR3" s="322"/>
      <c r="AS3" s="322"/>
      <c r="AT3" s="322"/>
      <c r="AU3" s="322"/>
      <c r="AV3" s="322"/>
      <c r="AW3" s="322"/>
      <c r="AX3" s="322"/>
      <c r="AY3" s="322"/>
      <c r="AZ3" s="322"/>
      <c r="BA3" s="322"/>
      <c r="BB3" s="322"/>
      <c r="BC3" s="322"/>
      <c r="BD3" s="2"/>
      <c r="BE3" s="2"/>
    </row>
    <row r="4" spans="1:58" s="30" customFormat="1" ht="15.7" thickBot="1">
      <c r="A4" s="13" t="s">
        <v>867</v>
      </c>
      <c r="B4" s="323">
        <v>169187</v>
      </c>
      <c r="C4" s="323">
        <v>172783</v>
      </c>
      <c r="D4" s="323">
        <v>175653</v>
      </c>
      <c r="E4" s="323">
        <v>181279.29565396823</v>
      </c>
      <c r="F4" s="323">
        <v>187302.23</v>
      </c>
      <c r="G4" s="323">
        <v>185922.489</v>
      </c>
      <c r="H4" s="323">
        <v>181922.103</v>
      </c>
      <c r="I4" s="323">
        <v>188220.383</v>
      </c>
      <c r="J4" s="323">
        <v>190948.45199999999</v>
      </c>
      <c r="K4" s="323">
        <v>193456.902</v>
      </c>
      <c r="L4" s="323">
        <v>198513.451</v>
      </c>
      <c r="M4" s="323">
        <v>205519.18299999999</v>
      </c>
      <c r="N4" s="323">
        <v>209411.03899999999</v>
      </c>
      <c r="O4" s="323">
        <v>211752.43299999999</v>
      </c>
      <c r="P4" s="323">
        <v>217215.04199999999</v>
      </c>
      <c r="Q4" s="323">
        <v>226017.413</v>
      </c>
      <c r="R4" s="324">
        <v>230661.666</v>
      </c>
      <c r="S4" s="325">
        <v>235211.88200000001</v>
      </c>
      <c r="T4" s="325">
        <v>243289.40400000001</v>
      </c>
      <c r="U4" s="325">
        <v>251237.26300000001</v>
      </c>
      <c r="V4" s="325">
        <v>255734.65</v>
      </c>
      <c r="W4" s="325">
        <v>259940.666</v>
      </c>
      <c r="X4" s="325">
        <v>265852.60499999998</v>
      </c>
      <c r="Y4" s="325">
        <v>273648.38299999997</v>
      </c>
      <c r="Z4" s="325">
        <v>280647.31699999998</v>
      </c>
      <c r="AA4" s="325">
        <v>282047</v>
      </c>
      <c r="AB4" s="325">
        <v>290113</v>
      </c>
      <c r="AC4" s="325">
        <v>304192</v>
      </c>
      <c r="AD4" s="325">
        <v>344564</v>
      </c>
      <c r="AE4" s="325">
        <v>332764</v>
      </c>
      <c r="AF4" s="325">
        <v>284224.30500000005</v>
      </c>
      <c r="AG4" s="325">
        <v>282640</v>
      </c>
      <c r="AH4" s="325">
        <v>276817</v>
      </c>
      <c r="AI4" s="325">
        <v>279430</v>
      </c>
      <c r="AJ4" s="325">
        <v>283036.25299999997</v>
      </c>
      <c r="AK4" s="325">
        <v>283667.18400000001</v>
      </c>
      <c r="AL4" s="325">
        <v>279869</v>
      </c>
      <c r="AM4" s="325">
        <v>293742.21999999997</v>
      </c>
      <c r="AN4" s="325">
        <v>307948</v>
      </c>
      <c r="AO4" s="325">
        <v>321373.51</v>
      </c>
      <c r="AP4" s="325">
        <v>321238.12300000002</v>
      </c>
      <c r="AQ4" s="325">
        <v>323476</v>
      </c>
      <c r="AR4" s="325">
        <v>322917.59299999999</v>
      </c>
      <c r="AS4" s="325">
        <v>326043</v>
      </c>
      <c r="AT4" s="325">
        <v>327307.74</v>
      </c>
      <c r="AU4" s="325">
        <v>327797.96000000002</v>
      </c>
      <c r="AV4" s="325">
        <v>332243.62</v>
      </c>
      <c r="AW4" s="325">
        <v>335412.28200000006</v>
      </c>
      <c r="AX4" s="325">
        <v>338562.38500000001</v>
      </c>
      <c r="AY4" s="325">
        <v>342305.36200000002</v>
      </c>
      <c r="AZ4" s="325">
        <v>345570.20600000006</v>
      </c>
      <c r="BA4" s="325">
        <v>352252.81199999998</v>
      </c>
      <c r="BB4" s="325">
        <v>354515.14</v>
      </c>
      <c r="BC4" s="325">
        <v>351640.24400000006</v>
      </c>
      <c r="BD4" s="188"/>
      <c r="BF4" s="25"/>
    </row>
    <row r="5" spans="1:58">
      <c r="A5" s="2" t="s">
        <v>362</v>
      </c>
      <c r="B5" s="322"/>
      <c r="C5" s="322"/>
      <c r="D5" s="322"/>
      <c r="E5" s="326">
        <v>0.91679999999999995</v>
      </c>
      <c r="F5" s="326">
        <v>0.90780000000000005</v>
      </c>
      <c r="G5" s="326">
        <v>0.9153</v>
      </c>
      <c r="H5" s="326">
        <v>0.94997414391533885</v>
      </c>
      <c r="I5" s="326">
        <v>0.95120000000000005</v>
      </c>
      <c r="J5" s="326">
        <v>0.95209999999999984</v>
      </c>
      <c r="K5" s="326">
        <v>0.95050000000000001</v>
      </c>
      <c r="L5" s="326">
        <v>0.95299999999999996</v>
      </c>
      <c r="M5" s="326">
        <v>0.95979999999999999</v>
      </c>
      <c r="N5" s="326">
        <v>0.94979999999999998</v>
      </c>
      <c r="O5" s="326">
        <v>0.95789999999999997</v>
      </c>
      <c r="P5" s="326">
        <v>0.9607</v>
      </c>
      <c r="Q5" s="326">
        <v>0.9577</v>
      </c>
      <c r="R5" s="326">
        <v>0.95809999999999995</v>
      </c>
      <c r="S5" s="326">
        <v>0.96199999999999997</v>
      </c>
      <c r="T5" s="326">
        <v>0.96030000000000004</v>
      </c>
      <c r="U5" s="326">
        <v>0.96970000000000001</v>
      </c>
      <c r="V5" s="327">
        <v>0.97529999999999994</v>
      </c>
      <c r="W5" s="327">
        <v>0.97350000000000003</v>
      </c>
      <c r="X5" s="327">
        <v>0.97209999999999996</v>
      </c>
      <c r="Y5" s="327">
        <v>0.9728</v>
      </c>
      <c r="Z5" s="327">
        <v>0.96870000000000001</v>
      </c>
      <c r="AA5" s="327">
        <v>0.96499999999999997</v>
      </c>
      <c r="AB5" s="327">
        <v>0.99229999999999996</v>
      </c>
      <c r="AC5" s="327">
        <v>1.0721000000000001</v>
      </c>
      <c r="AD5" s="327">
        <v>0.99767453733234168</v>
      </c>
      <c r="AE5" s="327">
        <v>0.98470000000000002</v>
      </c>
      <c r="AF5" s="328"/>
      <c r="AG5" s="328"/>
      <c r="AH5" s="328"/>
      <c r="AI5" s="328"/>
      <c r="AJ5" s="328"/>
      <c r="AK5" s="328"/>
      <c r="AL5" s="328"/>
      <c r="AM5" s="328"/>
      <c r="AN5" s="328"/>
      <c r="AO5" s="328"/>
      <c r="AP5" s="328"/>
      <c r="AQ5" s="328"/>
      <c r="AR5" s="328"/>
      <c r="AS5" s="328"/>
      <c r="AT5" s="328"/>
      <c r="AU5" s="328"/>
      <c r="AV5" s="328"/>
      <c r="AW5" s="328"/>
      <c r="AX5" s="328"/>
      <c r="AY5" s="328"/>
      <c r="AZ5" s="328"/>
      <c r="BA5" s="328"/>
      <c r="BB5" s="328"/>
      <c r="BC5" s="328"/>
      <c r="BD5" s="39"/>
      <c r="BE5" s="14"/>
      <c r="BF5" s="21"/>
    </row>
    <row r="6" spans="1:58">
      <c r="A6" s="2" t="s">
        <v>866</v>
      </c>
      <c r="B6" s="329"/>
      <c r="C6" s="329">
        <f t="shared" ref="C6:D6" si="0">C4-B4</f>
        <v>3596</v>
      </c>
      <c r="D6" s="329">
        <f t="shared" si="0"/>
        <v>2870</v>
      </c>
      <c r="E6" s="329">
        <v>5626.4796539682447</v>
      </c>
      <c r="F6" s="329">
        <v>6022.934346031755</v>
      </c>
      <c r="G6" s="329">
        <v>-1379.741</v>
      </c>
      <c r="H6" s="329">
        <v>-4000.386</v>
      </c>
      <c r="I6" s="329">
        <v>6298.28</v>
      </c>
      <c r="J6" s="329">
        <v>2728.069</v>
      </c>
      <c r="K6" s="329">
        <v>2508.4500000000116</v>
      </c>
      <c r="L6" s="329">
        <v>5056.5489999999991</v>
      </c>
      <c r="M6" s="329">
        <v>7005.7319999999891</v>
      </c>
      <c r="N6" s="329">
        <v>3891.8559999999998</v>
      </c>
      <c r="O6" s="329">
        <v>2341.3939999999998</v>
      </c>
      <c r="P6" s="329">
        <v>5462.6090000000004</v>
      </c>
      <c r="Q6" s="329">
        <v>8802.3709999999992</v>
      </c>
      <c r="R6" s="329">
        <v>4644.2529999999997</v>
      </c>
      <c r="S6" s="329">
        <v>4550.2160000000003</v>
      </c>
      <c r="T6" s="329">
        <v>8077.5219999999999</v>
      </c>
      <c r="U6" s="329">
        <v>7947.8590000000004</v>
      </c>
      <c r="V6" s="330">
        <v>4497.3869999999997</v>
      </c>
      <c r="W6" s="330">
        <v>4206.0159999999996</v>
      </c>
      <c r="X6" s="330">
        <v>5911.9390000000003</v>
      </c>
      <c r="Y6" s="330">
        <v>7795.7780000000002</v>
      </c>
      <c r="Z6" s="330">
        <v>6998.9340000000002</v>
      </c>
      <c r="AA6" s="330">
        <v>1400</v>
      </c>
      <c r="AB6" s="330">
        <v>8065.61</v>
      </c>
      <c r="AC6" s="330">
        <v>14078.727000000001</v>
      </c>
      <c r="AD6" s="330">
        <v>40372.315000000002</v>
      </c>
      <c r="AE6" s="330">
        <v>-11800</v>
      </c>
      <c r="AF6" s="330">
        <v>-48539.439000000013</v>
      </c>
      <c r="AG6" s="330">
        <v>-1585</v>
      </c>
      <c r="AH6" s="330">
        <v>-1533</v>
      </c>
      <c r="AI6" s="330">
        <v>2613</v>
      </c>
      <c r="AJ6" s="330">
        <f t="shared" ref="AJ6:AO6" si="1">AJ4-AI4</f>
        <v>3606.2529999999679</v>
      </c>
      <c r="AK6" s="330">
        <f t="shared" si="1"/>
        <v>630.93100000004051</v>
      </c>
      <c r="AL6" s="330">
        <f t="shared" si="1"/>
        <v>-3798.1840000000084</v>
      </c>
      <c r="AM6" s="330">
        <f t="shared" si="1"/>
        <v>13873.219999999972</v>
      </c>
      <c r="AN6" s="330">
        <f>AN4-AM4</f>
        <v>14205.780000000028</v>
      </c>
      <c r="AO6" s="330">
        <f t="shared" si="1"/>
        <v>13425.510000000009</v>
      </c>
      <c r="AP6" s="330">
        <f t="shared" ref="AP6:BC6" si="2">AP4-AO4</f>
        <v>-135.38699999998789</v>
      </c>
      <c r="AQ6" s="330">
        <f t="shared" si="2"/>
        <v>2237.8769999999786</v>
      </c>
      <c r="AR6" s="330">
        <f t="shared" si="2"/>
        <v>-558.40700000000652</v>
      </c>
      <c r="AS6" s="330">
        <f t="shared" si="2"/>
        <v>3125.4070000000065</v>
      </c>
      <c r="AT6" s="330">
        <f t="shared" si="2"/>
        <v>1264.7399999999907</v>
      </c>
      <c r="AU6" s="330">
        <f t="shared" si="2"/>
        <v>490.22000000003027</v>
      </c>
      <c r="AV6" s="330">
        <f t="shared" si="2"/>
        <v>4445.6599999999744</v>
      </c>
      <c r="AW6" s="330">
        <f t="shared" si="2"/>
        <v>3168.6620000000694</v>
      </c>
      <c r="AX6" s="330">
        <f t="shared" si="2"/>
        <v>3150.1029999999446</v>
      </c>
      <c r="AY6" s="330">
        <f t="shared" si="2"/>
        <v>3742.9770000000135</v>
      </c>
      <c r="AZ6" s="330">
        <f t="shared" si="2"/>
        <v>3264.844000000041</v>
      </c>
      <c r="BA6" s="330">
        <f t="shared" si="2"/>
        <v>6682.6059999999125</v>
      </c>
      <c r="BB6" s="330">
        <f t="shared" si="2"/>
        <v>2262.3280000000377</v>
      </c>
      <c r="BC6" s="330">
        <f t="shared" si="2"/>
        <v>-2874.8959999999497</v>
      </c>
      <c r="BD6" s="15"/>
      <c r="BE6" s="500"/>
      <c r="BF6" s="21"/>
    </row>
    <row r="7" spans="1:58">
      <c r="A7" s="2" t="s">
        <v>363</v>
      </c>
      <c r="B7" s="329"/>
      <c r="C7" s="329"/>
      <c r="D7" s="329"/>
      <c r="E7" s="331">
        <v>0.9628450417921689</v>
      </c>
      <c r="F7" s="331">
        <v>0.96244954478118061</v>
      </c>
      <c r="G7" s="331">
        <v>0.96027101917724433</v>
      </c>
      <c r="H7" s="331">
        <v>0.95829387482399542</v>
      </c>
      <c r="I7" s="331">
        <v>0.957626964344239</v>
      </c>
      <c r="J7" s="331">
        <v>0.95612838484807405</v>
      </c>
      <c r="K7" s="331">
        <v>0.95406066204864581</v>
      </c>
      <c r="L7" s="331">
        <v>0.95258166158221691</v>
      </c>
      <c r="M7" s="331">
        <v>0.9510219199343547</v>
      </c>
      <c r="N7" s="331">
        <v>0.94945711529562682</v>
      </c>
      <c r="O7" s="331">
        <v>0.94684846903270292</v>
      </c>
      <c r="P7" s="331">
        <v>0.94627702164383254</v>
      </c>
      <c r="Q7" s="331">
        <v>0.94583085950107748</v>
      </c>
      <c r="R7" s="331">
        <v>0.94425437384987931</v>
      </c>
      <c r="S7" s="331">
        <v>0.94227018259222128</v>
      </c>
      <c r="T7" s="331">
        <v>0.94102281577376057</v>
      </c>
      <c r="U7" s="331">
        <v>0.94004459441989707</v>
      </c>
      <c r="V7" s="332">
        <v>0.93877815149413657</v>
      </c>
      <c r="W7" s="332">
        <v>0.93702492091022038</v>
      </c>
      <c r="X7" s="332">
        <v>0.9365957425920276</v>
      </c>
      <c r="Y7" s="332">
        <v>0.93663112564418116</v>
      </c>
      <c r="Z7" s="332">
        <v>0.93752911594732968</v>
      </c>
      <c r="AA7" s="332">
        <v>0.93700000000000006</v>
      </c>
      <c r="AB7" s="332">
        <v>0.93705362728579367</v>
      </c>
      <c r="AC7" s="332">
        <v>0.93945863222890358</v>
      </c>
      <c r="AD7" s="332">
        <v>0.94638857073572091</v>
      </c>
      <c r="AE7" s="332">
        <v>0.94441090012498463</v>
      </c>
      <c r="AF7" s="332">
        <v>0.93579025903502522</v>
      </c>
      <c r="AG7" s="332">
        <v>0.93500000000000005</v>
      </c>
      <c r="AH7" s="332">
        <v>0.94899999999999995</v>
      </c>
      <c r="AI7" s="332">
        <v>0.94899999999999995</v>
      </c>
      <c r="AJ7" s="332">
        <v>0.94436150552063736</v>
      </c>
      <c r="AK7" s="332">
        <v>0.94791527242714124</v>
      </c>
      <c r="AL7" s="332">
        <v>0.9477864734785354</v>
      </c>
      <c r="AM7" s="332">
        <v>0.94788702148434756</v>
      </c>
      <c r="AN7" s="332">
        <v>0.9480301527676207</v>
      </c>
      <c r="AO7" s="332">
        <v>0.94824440259559661</v>
      </c>
      <c r="AP7" s="332">
        <v>0.94732225166189254</v>
      </c>
      <c r="AQ7" s="332">
        <v>0.94659874918629316</v>
      </c>
      <c r="AR7" s="332">
        <v>0.94551318546462715</v>
      </c>
      <c r="AS7" s="332">
        <v>0.94539226381294794</v>
      </c>
      <c r="AT7" s="332">
        <v>0.9448436874728352</v>
      </c>
      <c r="AU7" s="332">
        <v>0.94284786567158163</v>
      </c>
      <c r="AV7" s="332">
        <v>0.94406394109347125</v>
      </c>
      <c r="AW7" s="332">
        <v>0.94141055931875506</v>
      </c>
      <c r="AX7" s="332">
        <v>0.93949491465214019</v>
      </c>
      <c r="AY7" s="332">
        <v>0.93729435649331139</v>
      </c>
      <c r="AZ7" s="332">
        <v>0.93536917647350604</v>
      </c>
      <c r="BA7" s="332">
        <v>0.93446348981878391</v>
      </c>
      <c r="BB7" s="332">
        <v>0.93258601028999766</v>
      </c>
      <c r="BC7" s="332">
        <v>0.92985166965132693</v>
      </c>
      <c r="BD7" s="39"/>
      <c r="BE7" s="14"/>
      <c r="BF7" s="21"/>
    </row>
    <row r="8" spans="1:58">
      <c r="A8" s="2" t="s">
        <v>364</v>
      </c>
      <c r="B8" s="329"/>
      <c r="C8" s="329"/>
      <c r="D8" s="329"/>
      <c r="E8" s="331">
        <v>8.8063733478201803E-2</v>
      </c>
      <c r="F8" s="331">
        <v>8.7529514585046223E-2</v>
      </c>
      <c r="G8" s="331">
        <v>8.4911232763759101E-2</v>
      </c>
      <c r="H8" s="331">
        <v>5.8665602803907355E-2</v>
      </c>
      <c r="I8" s="331">
        <v>3.1806284929968273E-2</v>
      </c>
      <c r="J8" s="331">
        <v>3.204494393383249E-2</v>
      </c>
      <c r="K8" s="331">
        <v>3.2174192762100082E-2</v>
      </c>
      <c r="L8" s="331">
        <v>2.6855511981701521E-2</v>
      </c>
      <c r="M8" s="331">
        <v>2.4230428594244489E-2</v>
      </c>
      <c r="N8" s="331">
        <v>2.6988312396774437E-2</v>
      </c>
      <c r="O8" s="331">
        <v>3.0672786652858035E-2</v>
      </c>
      <c r="P8" s="331">
        <v>2.6562333524762453E-2</v>
      </c>
      <c r="Q8" s="331">
        <v>2.5127285932575835E-2</v>
      </c>
      <c r="R8" s="331">
        <v>3.2947994453445616E-2</v>
      </c>
      <c r="S8" s="331">
        <v>3.4848758539631285E-2</v>
      </c>
      <c r="T8" s="331">
        <v>3.4489304215672277E-2</v>
      </c>
      <c r="U8" s="331">
        <v>3.2697666271896526E-2</v>
      </c>
      <c r="V8" s="332">
        <v>3.5652380422221026E-2</v>
      </c>
      <c r="W8" s="332">
        <v>3.6675979820503815E-2</v>
      </c>
      <c r="X8" s="332">
        <v>4.1295691790030876E-2</v>
      </c>
      <c r="Y8" s="332">
        <v>3.6269536116305984E-2</v>
      </c>
      <c r="Z8" s="332">
        <v>3.8053702720668679E-2</v>
      </c>
      <c r="AA8" s="332">
        <v>3.9E-2</v>
      </c>
      <c r="AB8" s="332">
        <v>3.3443775475490913E-2</v>
      </c>
      <c r="AC8" s="332">
        <v>2.7646912343263105E-2</v>
      </c>
      <c r="AD8" s="332">
        <v>1.984744690653361E-2</v>
      </c>
      <c r="AE8" s="332">
        <v>4.0910552179768064E-2</v>
      </c>
      <c r="AF8" s="332">
        <v>7.2974865772952174E-2</v>
      </c>
      <c r="AG8" s="332">
        <v>2.8000000000000001E-2</v>
      </c>
      <c r="AH8" s="332">
        <v>2.5999999999999999E-2</v>
      </c>
      <c r="AI8" s="332">
        <v>2.1000000000000001E-2</v>
      </c>
      <c r="AJ8" s="332">
        <v>2.6322916330686442E-2</v>
      </c>
      <c r="AK8" s="332">
        <v>2.5705219111204602E-2</v>
      </c>
      <c r="AL8" s="332">
        <v>2.2127470497693872E-2</v>
      </c>
      <c r="AM8" s="332">
        <v>1.7216848284955729E-2</v>
      </c>
      <c r="AN8" s="332">
        <v>1.9245406432229602E-2</v>
      </c>
      <c r="AO8" s="332">
        <v>2.2472762762234481E-2</v>
      </c>
      <c r="AP8" s="332">
        <v>2.7981353441882999E-2</v>
      </c>
      <c r="AQ8" s="332">
        <v>3.0038176753185753E-2</v>
      </c>
      <c r="AR8" s="332">
        <v>2.9222615672159322E-2</v>
      </c>
      <c r="AS8" s="332">
        <v>2.8139047305883378E-2</v>
      </c>
      <c r="AT8" s="332">
        <v>2.9725828757992845E-2</v>
      </c>
      <c r="AU8" s="332">
        <v>3.2546471928734486E-2</v>
      </c>
      <c r="AV8" s="332">
        <v>2.964921879320627E-2</v>
      </c>
      <c r="AW8" s="332">
        <v>2.8029255621514464E-2</v>
      </c>
      <c r="AX8" s="332">
        <v>2.7832226546057506E-2</v>
      </c>
      <c r="AY8" s="332">
        <v>2.9213685930290948E-2</v>
      </c>
      <c r="AZ8" s="332">
        <v>2.8518421695955223E-2</v>
      </c>
      <c r="BA8" s="332">
        <v>2.3667534847411176E-2</v>
      </c>
      <c r="BB8" s="332">
        <v>2.8147964285120206E-2</v>
      </c>
      <c r="BC8" s="332">
        <v>3.235432031294426E-2</v>
      </c>
      <c r="BD8" s="39"/>
      <c r="BE8" s="14"/>
      <c r="BF8" s="21"/>
    </row>
    <row r="9" spans="1:58" ht="15.7" thickBot="1">
      <c r="A9" s="2"/>
      <c r="B9" s="329"/>
      <c r="C9" s="329"/>
      <c r="D9" s="329"/>
      <c r="E9" s="329"/>
      <c r="F9" s="329"/>
      <c r="G9" s="329"/>
      <c r="H9" s="329"/>
      <c r="I9" s="329"/>
      <c r="J9" s="329"/>
      <c r="K9" s="329"/>
      <c r="L9" s="329"/>
      <c r="M9" s="329"/>
      <c r="N9" s="329"/>
      <c r="O9" s="329"/>
      <c r="P9" s="329"/>
      <c r="Q9" s="329"/>
      <c r="R9" s="329"/>
      <c r="S9" s="329"/>
      <c r="T9" s="329"/>
      <c r="U9" s="329"/>
      <c r="V9" s="330"/>
      <c r="W9" s="330"/>
      <c r="X9" s="330"/>
      <c r="Y9" s="330"/>
      <c r="Z9" s="330"/>
      <c r="AA9" s="330"/>
      <c r="AB9" s="330"/>
      <c r="AC9" s="330"/>
      <c r="AD9" s="330"/>
      <c r="AE9" s="330"/>
      <c r="AF9" s="330"/>
      <c r="AG9" s="330"/>
      <c r="AH9" s="330"/>
      <c r="AI9" s="330"/>
      <c r="AJ9" s="330"/>
      <c r="AK9" s="330"/>
      <c r="AL9" s="330"/>
      <c r="AM9" s="330"/>
      <c r="AN9" s="330"/>
      <c r="AO9" s="330"/>
      <c r="AP9" s="330"/>
      <c r="AQ9" s="330"/>
      <c r="AR9" s="330"/>
      <c r="AS9" s="330"/>
      <c r="AT9" s="330"/>
      <c r="AU9" s="330"/>
      <c r="AV9" s="330"/>
      <c r="AW9" s="330"/>
      <c r="AX9" s="330"/>
      <c r="AY9" s="330"/>
      <c r="AZ9" s="330"/>
      <c r="BA9" s="330"/>
      <c r="BB9" s="330"/>
      <c r="BC9" s="330"/>
      <c r="BD9" s="15"/>
      <c r="BE9" s="14"/>
      <c r="BF9" s="21"/>
    </row>
    <row r="10" spans="1:58" s="30" customFormat="1" ht="15.7" thickBot="1">
      <c r="A10" s="13" t="s">
        <v>365</v>
      </c>
      <c r="B10" s="333">
        <v>190</v>
      </c>
      <c r="C10" s="333">
        <v>183</v>
      </c>
      <c r="D10" s="333">
        <v>187</v>
      </c>
      <c r="E10" s="323">
        <v>188.87737386695858</v>
      </c>
      <c r="F10" s="323">
        <v>184.65479154901595</v>
      </c>
      <c r="G10" s="323">
        <v>177.40675617199076</v>
      </c>
      <c r="H10" s="323">
        <v>184.98980028940755</v>
      </c>
      <c r="I10" s="323">
        <v>192.88645612171879</v>
      </c>
      <c r="J10" s="323">
        <v>200.22361924121819</v>
      </c>
      <c r="K10" s="323">
        <v>192.06986859832728</v>
      </c>
      <c r="L10" s="323">
        <v>194.65963221876336</v>
      </c>
      <c r="M10" s="323">
        <v>196.36843459513216</v>
      </c>
      <c r="N10" s="323">
        <v>202.47964261556035</v>
      </c>
      <c r="O10" s="323">
        <v>197.54347159449424</v>
      </c>
      <c r="P10" s="323">
        <v>202.27862881432441</v>
      </c>
      <c r="Q10" s="323">
        <v>198.37007068736361</v>
      </c>
      <c r="R10" s="324">
        <v>198.240255886835</v>
      </c>
      <c r="S10" s="325">
        <v>192.59114966262496</v>
      </c>
      <c r="T10" s="325">
        <v>191.98926667921071</v>
      </c>
      <c r="U10" s="325">
        <v>194.19472239456147</v>
      </c>
      <c r="V10" s="325">
        <v>195.73454080073296</v>
      </c>
      <c r="W10" s="325">
        <v>187.87110713727409</v>
      </c>
      <c r="X10" s="325">
        <v>172.02435272712242</v>
      </c>
      <c r="Y10" s="325">
        <v>157.58472915121405</v>
      </c>
      <c r="Z10" s="325">
        <v>154.48483312278125</v>
      </c>
      <c r="AA10" s="325">
        <v>145</v>
      </c>
      <c r="AB10" s="325">
        <v>123</v>
      </c>
      <c r="AC10" s="325">
        <v>116</v>
      </c>
      <c r="AD10" s="325">
        <v>105</v>
      </c>
      <c r="AE10" s="325">
        <v>100</v>
      </c>
      <c r="AF10" s="325">
        <v>104</v>
      </c>
      <c r="AG10" s="325">
        <v>123</v>
      </c>
      <c r="AH10" s="325">
        <v>129</v>
      </c>
      <c r="AI10" s="325">
        <v>128</v>
      </c>
      <c r="AJ10" s="325">
        <v>134.85133141482592</v>
      </c>
      <c r="AK10" s="325">
        <v>154.07077258806797</v>
      </c>
      <c r="AL10" s="325">
        <v>156.80841376485662</v>
      </c>
      <c r="AM10" s="325">
        <v>162.19167879158945</v>
      </c>
      <c r="AN10" s="325">
        <v>166.08182157874103</v>
      </c>
      <c r="AO10" s="325">
        <v>145.21147435476252</v>
      </c>
      <c r="AP10" s="325">
        <v>146.13644963737531</v>
      </c>
      <c r="AQ10" s="325">
        <v>153.4346448313531</v>
      </c>
      <c r="AR10" s="325">
        <v>162.51066372091415</v>
      </c>
      <c r="AS10" s="325">
        <v>178.25447578771332</v>
      </c>
      <c r="AT10" s="325">
        <v>183.21636296137629</v>
      </c>
      <c r="AU10" s="325">
        <v>189.77470933891865</v>
      </c>
      <c r="AV10" s="325">
        <v>193.44511757473515</v>
      </c>
      <c r="AW10" s="325">
        <v>193.30020898498091</v>
      </c>
      <c r="AX10" s="325">
        <v>199.76734964826008</v>
      </c>
      <c r="AY10" s="325">
        <v>202.80929014342357</v>
      </c>
      <c r="AZ10" s="325">
        <v>207.89210467375753</v>
      </c>
      <c r="BA10" s="325">
        <v>208.8588040254451</v>
      </c>
      <c r="BB10" s="325">
        <v>210.58479678699587</v>
      </c>
      <c r="BC10" s="325">
        <v>232.97308958000451</v>
      </c>
      <c r="BD10" s="188"/>
      <c r="BE10" s="14"/>
      <c r="BF10" s="25"/>
    </row>
    <row r="11" spans="1:58">
      <c r="A11" s="2" t="s">
        <v>366</v>
      </c>
      <c r="B11" s="322"/>
      <c r="C11" s="322"/>
      <c r="D11" s="322"/>
      <c r="E11" s="334">
        <v>3.7548494126397638</v>
      </c>
      <c r="F11" s="334">
        <v>3.4200398494039108</v>
      </c>
      <c r="G11" s="334">
        <v>3.2142534725598377</v>
      </c>
      <c r="H11" s="334">
        <v>3.3995448087357962</v>
      </c>
      <c r="I11" s="334">
        <v>3.5642861925807896</v>
      </c>
      <c r="J11" s="334">
        <v>3.584363478914689</v>
      </c>
      <c r="K11" s="334">
        <v>3.0610166783050037</v>
      </c>
      <c r="L11" s="334">
        <v>3.1369308891763383</v>
      </c>
      <c r="M11" s="334">
        <v>3.181998314681711</v>
      </c>
      <c r="N11" s="334">
        <v>3.3807150073850645</v>
      </c>
      <c r="O11" s="334">
        <v>3.2660684956491366</v>
      </c>
      <c r="P11" s="334">
        <v>3.2686072099173482</v>
      </c>
      <c r="Q11" s="334">
        <v>3.1923353727170829</v>
      </c>
      <c r="R11" s="334">
        <v>3.1226994663479055</v>
      </c>
      <c r="S11" s="334">
        <v>2.9674581484063034</v>
      </c>
      <c r="T11" s="334">
        <v>2.9153553163293431</v>
      </c>
      <c r="U11" s="334">
        <v>2.86945010160417</v>
      </c>
      <c r="V11" s="335">
        <v>2.9298054595340521</v>
      </c>
      <c r="W11" s="335">
        <v>2.7986857085275583</v>
      </c>
      <c r="X11" s="335">
        <v>2.5434847618598679</v>
      </c>
      <c r="Y11" s="335">
        <v>2.3490015897725156</v>
      </c>
      <c r="Z11" s="335">
        <v>2.3972817761197138</v>
      </c>
      <c r="AA11" s="335">
        <v>2.2000000000000002</v>
      </c>
      <c r="AB11" s="335">
        <v>1.8985530872352112</v>
      </c>
      <c r="AC11" s="335">
        <v>1.7972471439153224</v>
      </c>
      <c r="AD11" s="335">
        <v>1.5684323173782511</v>
      </c>
      <c r="AE11" s="335">
        <v>1.42</v>
      </c>
      <c r="AF11" s="335">
        <v>1.44</v>
      </c>
      <c r="AG11" s="335">
        <v>1.7430000000000001</v>
      </c>
      <c r="AH11" s="335">
        <v>1.856000078687446</v>
      </c>
      <c r="AI11" s="335">
        <v>1.8260599503817831</v>
      </c>
      <c r="AJ11" s="335">
        <v>1.9007646408385634</v>
      </c>
      <c r="AK11" s="335">
        <v>2.1439910836292131</v>
      </c>
      <c r="AL11" s="335">
        <v>2.0684851766277665</v>
      </c>
      <c r="AM11" s="335">
        <v>2.1827828381884053</v>
      </c>
      <c r="AN11" s="335">
        <v>2.2469425394682965</v>
      </c>
      <c r="AO11" s="335">
        <v>1.9822062499370372</v>
      </c>
      <c r="AP11" s="335">
        <v>1.990575610575279</v>
      </c>
      <c r="AQ11" s="335">
        <v>2.0719128772991064</v>
      </c>
      <c r="AR11" s="335">
        <v>2.1761056565560306</v>
      </c>
      <c r="AS11" s="335">
        <v>2.3714038596179239</v>
      </c>
      <c r="AT11" s="335">
        <v>2.3785323259982851</v>
      </c>
      <c r="AU11" s="335">
        <v>2.3757474879684359</v>
      </c>
      <c r="AV11" s="335">
        <v>2.354544729767051</v>
      </c>
      <c r="AW11" s="335">
        <v>2.3493573536393484</v>
      </c>
      <c r="AX11" s="335">
        <v>2.4300532819485947</v>
      </c>
      <c r="AY11" s="335">
        <v>2.4586681932163255</v>
      </c>
      <c r="AZ11" s="335">
        <v>2.4981744709729305</v>
      </c>
      <c r="BA11" s="335">
        <v>2.5134836549270818</v>
      </c>
      <c r="BB11" s="335">
        <v>2.525788007841733</v>
      </c>
      <c r="BC11" s="335">
        <v>2.7824537417975357</v>
      </c>
      <c r="BD11" s="198"/>
      <c r="BE11" s="99"/>
      <c r="BF11" s="21"/>
    </row>
    <row r="12" spans="1:58">
      <c r="A12" s="3" t="s">
        <v>773</v>
      </c>
      <c r="B12" s="322"/>
      <c r="C12" s="322"/>
      <c r="D12" s="322"/>
      <c r="E12" s="331"/>
      <c r="F12" s="331"/>
      <c r="G12" s="331"/>
      <c r="H12" s="331"/>
      <c r="I12" s="331"/>
      <c r="J12" s="331"/>
      <c r="K12" s="331"/>
      <c r="L12" s="331"/>
      <c r="M12" s="331"/>
      <c r="N12" s="331"/>
      <c r="O12" s="331"/>
      <c r="P12" s="331"/>
      <c r="Q12" s="331"/>
      <c r="R12" s="331"/>
      <c r="S12" s="331"/>
      <c r="T12" s="331"/>
      <c r="U12" s="331"/>
      <c r="V12" s="332"/>
      <c r="W12" s="332"/>
      <c r="X12" s="332"/>
      <c r="Y12" s="332"/>
      <c r="Z12" s="332"/>
      <c r="AA12" s="332"/>
      <c r="AB12" s="332"/>
      <c r="AC12" s="332"/>
      <c r="AD12" s="332"/>
      <c r="AE12" s="332"/>
      <c r="AF12" s="332"/>
      <c r="AG12" s="332"/>
      <c r="AH12" s="336"/>
      <c r="AI12" s="336"/>
      <c r="AJ12" s="336"/>
      <c r="AK12" s="336"/>
      <c r="AL12" s="337">
        <v>137.89606028170604</v>
      </c>
      <c r="AM12" s="337">
        <v>143.21821616450737</v>
      </c>
      <c r="AN12" s="337">
        <v>146.33939393219703</v>
      </c>
      <c r="AO12" s="337">
        <v>145.21147435476252</v>
      </c>
      <c r="AP12" s="337">
        <v>146.13644963737531</v>
      </c>
      <c r="AQ12" s="337">
        <v>153.4346448313531</v>
      </c>
      <c r="AR12" s="337">
        <v>162.51066372091415</v>
      </c>
      <c r="AS12" s="337">
        <v>178.25447578771332</v>
      </c>
      <c r="AT12" s="330">
        <f t="shared" ref="AT12:AY12" si="3">AT10</f>
        <v>183.21636296137629</v>
      </c>
      <c r="AU12" s="330">
        <f t="shared" si="3"/>
        <v>189.77470933891865</v>
      </c>
      <c r="AV12" s="330">
        <f t="shared" si="3"/>
        <v>193.44511757473515</v>
      </c>
      <c r="AW12" s="330">
        <f t="shared" si="3"/>
        <v>193.30020898498091</v>
      </c>
      <c r="AX12" s="330">
        <f t="shared" si="3"/>
        <v>199.76734964826008</v>
      </c>
      <c r="AY12" s="330">
        <f t="shared" si="3"/>
        <v>202.80929014342357</v>
      </c>
      <c r="AZ12" s="330">
        <f t="shared" ref="AZ12:BA12" si="4">AZ10</f>
        <v>207.89210467375753</v>
      </c>
      <c r="BA12" s="330">
        <f t="shared" si="4"/>
        <v>208.8588040254451</v>
      </c>
      <c r="BB12" s="330">
        <f t="shared" ref="BB12:BC12" si="5">BB10</f>
        <v>210.58479678699587</v>
      </c>
      <c r="BC12" s="330">
        <f t="shared" si="5"/>
        <v>232.97308958000451</v>
      </c>
      <c r="BD12" s="39"/>
      <c r="BE12" s="14"/>
      <c r="BF12" s="21"/>
    </row>
    <row r="13" spans="1:58">
      <c r="A13" s="2" t="s">
        <v>367</v>
      </c>
      <c r="B13" s="322"/>
      <c r="C13" s="322"/>
      <c r="D13" s="322"/>
      <c r="E13" s="338">
        <v>280331.86562144448</v>
      </c>
      <c r="F13" s="338">
        <v>275647.24195505882</v>
      </c>
      <c r="G13" s="338">
        <v>260380.4330836802</v>
      </c>
      <c r="H13" s="338">
        <v>261899.67704077394</v>
      </c>
      <c r="I13" s="338">
        <v>269531.01296243223</v>
      </c>
      <c r="J13" s="338">
        <v>282405.71870616305</v>
      </c>
      <c r="K13" s="338">
        <v>272978.63834885572</v>
      </c>
      <c r="L13" s="338">
        <v>279871.48229050834</v>
      </c>
      <c r="M13" s="338">
        <v>287897.30182531854</v>
      </c>
      <c r="N13" s="338">
        <v>301594.38091649354</v>
      </c>
      <c r="O13" s="338">
        <v>295645.4997273435</v>
      </c>
      <c r="P13" s="338">
        <v>305282.80102608126</v>
      </c>
      <c r="Q13" s="338">
        <v>303747.78821873723</v>
      </c>
      <c r="R13" s="338">
        <v>308226.60446816584</v>
      </c>
      <c r="S13" s="338">
        <v>301434.56068081519</v>
      </c>
      <c r="T13" s="338">
        <v>305630.23547174834</v>
      </c>
      <c r="U13" s="338">
        <v>314569.91401681787</v>
      </c>
      <c r="V13" s="337">
        <v>318740.76383032516</v>
      </c>
      <c r="W13" s="337">
        <v>306055.33379748452</v>
      </c>
      <c r="X13" s="337">
        <v>283358.75282092427</v>
      </c>
      <c r="Y13" s="337">
        <v>264006.90947157197</v>
      </c>
      <c r="Z13" s="337">
        <v>264199.54644202371</v>
      </c>
      <c r="AA13" s="337">
        <v>250234</v>
      </c>
      <c r="AB13" s="337">
        <v>215669.96239668829</v>
      </c>
      <c r="AC13" s="337">
        <v>206784.97905464735</v>
      </c>
      <c r="AD13" s="337">
        <v>206215.37782407645</v>
      </c>
      <c r="AE13" s="337">
        <v>198400.28908603385</v>
      </c>
      <c r="AF13" s="337">
        <v>193519</v>
      </c>
      <c r="AG13" s="337">
        <v>196178</v>
      </c>
      <c r="AH13" s="337">
        <v>196583.93410122659</v>
      </c>
      <c r="AI13" s="337">
        <v>195768.87754606866</v>
      </c>
      <c r="AJ13" s="337">
        <v>202375.26925013121</v>
      </c>
      <c r="AK13" s="337">
        <v>227658.61180709905</v>
      </c>
      <c r="AL13" s="337">
        <v>220941.68734327817</v>
      </c>
      <c r="AM13" s="337">
        <v>233149.54423574952</v>
      </c>
      <c r="AN13" s="337">
        <v>243395.32186914849</v>
      </c>
      <c r="AO13" s="337">
        <v>215408.55898336167</v>
      </c>
      <c r="AP13" s="337">
        <v>215408.55898336167</v>
      </c>
      <c r="AQ13" s="337">
        <v>224223.7899343016</v>
      </c>
      <c r="AR13" s="337">
        <v>232009.78305328495</v>
      </c>
      <c r="AS13" s="337">
        <v>246442.29215681661</v>
      </c>
      <c r="AT13" s="337">
        <v>247085.30708487597</v>
      </c>
      <c r="AU13" s="337">
        <v>248847.98975095942</v>
      </c>
      <c r="AV13" s="337">
        <v>246976.39872090914</v>
      </c>
      <c r="AW13" s="337">
        <v>240112.2108509026</v>
      </c>
      <c r="AX13" s="337">
        <v>240412.97456537164</v>
      </c>
      <c r="AY13" s="337">
        <v>238414.7322751359</v>
      </c>
      <c r="AZ13" s="337">
        <v>236817.23146389922</v>
      </c>
      <c r="BA13" s="337">
        <v>232409.15036468662</v>
      </c>
      <c r="BB13" s="337">
        <v>231474.09535131356</v>
      </c>
      <c r="BC13" s="337">
        <v>251029.49991404216</v>
      </c>
      <c r="BD13" s="15"/>
      <c r="BE13" s="14"/>
      <c r="BF13" s="21"/>
    </row>
    <row r="14" spans="1:58">
      <c r="A14" s="3" t="s">
        <v>774</v>
      </c>
      <c r="B14" s="322"/>
      <c r="C14" s="322"/>
      <c r="D14" s="322"/>
      <c r="E14" s="338"/>
      <c r="F14" s="338"/>
      <c r="G14" s="338"/>
      <c r="H14" s="338"/>
      <c r="I14" s="338"/>
      <c r="J14" s="338"/>
      <c r="K14" s="338"/>
      <c r="L14" s="338"/>
      <c r="M14" s="338"/>
      <c r="N14" s="338"/>
      <c r="O14" s="338"/>
      <c r="P14" s="338"/>
      <c r="Q14" s="338"/>
      <c r="R14" s="338"/>
      <c r="S14" s="338"/>
      <c r="T14" s="338"/>
      <c r="U14" s="338"/>
      <c r="V14" s="337"/>
      <c r="W14" s="337"/>
      <c r="X14" s="337"/>
      <c r="Y14" s="337"/>
      <c r="Z14" s="337"/>
      <c r="AA14" s="337"/>
      <c r="AB14" s="337"/>
      <c r="AC14" s="337"/>
      <c r="AD14" s="337"/>
      <c r="AE14" s="337"/>
      <c r="AF14" s="337"/>
      <c r="AG14" s="337"/>
      <c r="AH14" s="337"/>
      <c r="AI14" s="336"/>
      <c r="AJ14" s="336"/>
      <c r="AK14" s="336"/>
      <c r="AL14" s="337">
        <v>194294.34623525722</v>
      </c>
      <c r="AM14" s="337">
        <v>205875.30799233253</v>
      </c>
      <c r="AN14" s="337">
        <v>214462.50739353927</v>
      </c>
      <c r="AO14" s="337">
        <v>215408.55898336167</v>
      </c>
      <c r="AP14" s="337">
        <v>214415.91035225309</v>
      </c>
      <c r="AQ14" s="337">
        <v>224223.7899343016</v>
      </c>
      <c r="AR14" s="337">
        <v>232009.78305328495</v>
      </c>
      <c r="AS14" s="337">
        <v>246442.29215681661</v>
      </c>
      <c r="AT14" s="330">
        <f t="shared" ref="AT14:AY14" si="6">AT13</f>
        <v>247085.30708487597</v>
      </c>
      <c r="AU14" s="330">
        <f t="shared" si="6"/>
        <v>248847.98975095942</v>
      </c>
      <c r="AV14" s="330">
        <f t="shared" si="6"/>
        <v>246976.39872090914</v>
      </c>
      <c r="AW14" s="330">
        <f t="shared" si="6"/>
        <v>240112.2108509026</v>
      </c>
      <c r="AX14" s="330">
        <f t="shared" si="6"/>
        <v>240412.97456537164</v>
      </c>
      <c r="AY14" s="330">
        <f t="shared" si="6"/>
        <v>238414.7322751359</v>
      </c>
      <c r="AZ14" s="330">
        <f t="shared" ref="AZ14:BA14" si="7">AZ13</f>
        <v>236817.23146389922</v>
      </c>
      <c r="BA14" s="330">
        <f t="shared" si="7"/>
        <v>232409.15036468662</v>
      </c>
      <c r="BB14" s="330">
        <f t="shared" ref="BB14:BC14" si="8">BB13</f>
        <v>231474.09535131356</v>
      </c>
      <c r="BC14" s="330">
        <f t="shared" si="8"/>
        <v>251029.49991404216</v>
      </c>
      <c r="BD14" s="15"/>
      <c r="BE14" s="14"/>
      <c r="BF14" s="21"/>
    </row>
    <row r="15" spans="1:58">
      <c r="A15" s="2"/>
      <c r="B15" s="322"/>
      <c r="C15" s="322"/>
      <c r="D15" s="322"/>
      <c r="E15" s="322"/>
      <c r="F15" s="322"/>
      <c r="G15" s="322"/>
      <c r="H15" s="322"/>
      <c r="I15" s="322"/>
      <c r="J15" s="322"/>
      <c r="K15" s="322"/>
      <c r="L15" s="322"/>
      <c r="M15" s="322"/>
      <c r="N15" s="322"/>
      <c r="O15" s="322"/>
      <c r="P15" s="322"/>
      <c r="Q15" s="322"/>
      <c r="R15" s="322"/>
      <c r="S15" s="322"/>
      <c r="T15" s="322"/>
      <c r="U15" s="322"/>
      <c r="V15" s="322"/>
      <c r="W15" s="322"/>
      <c r="X15" s="322"/>
      <c r="Y15" s="322"/>
      <c r="Z15" s="322"/>
      <c r="AA15" s="322"/>
      <c r="AB15" s="322"/>
      <c r="AC15" s="322"/>
      <c r="AD15" s="322"/>
      <c r="AE15" s="322"/>
      <c r="AF15" s="322"/>
      <c r="AG15" s="322"/>
      <c r="AH15" s="322"/>
      <c r="AI15" s="322"/>
      <c r="AJ15" s="322"/>
      <c r="AK15" s="322"/>
      <c r="AL15" s="322"/>
      <c r="AM15" s="322"/>
      <c r="AN15" s="322"/>
      <c r="AO15" s="322"/>
      <c r="AP15" s="322"/>
      <c r="AQ15" s="322"/>
      <c r="AR15" s="322"/>
      <c r="AS15" s="322"/>
      <c r="AT15" s="322"/>
      <c r="AU15" s="322"/>
      <c r="AV15" s="322"/>
      <c r="AW15" s="322"/>
      <c r="AX15" s="322"/>
      <c r="AY15" s="322"/>
      <c r="AZ15" s="322"/>
      <c r="BA15" s="322"/>
      <c r="BB15" s="322"/>
      <c r="BC15" s="322"/>
      <c r="BD15" s="14"/>
      <c r="BE15" s="14"/>
      <c r="BF15" s="21"/>
    </row>
    <row r="16" spans="1:58" ht="20.25" customHeight="1">
      <c r="A16" s="2"/>
      <c r="B16" s="322"/>
      <c r="C16" s="322"/>
      <c r="D16" s="322"/>
      <c r="E16" s="322"/>
      <c r="F16" s="322"/>
      <c r="G16" s="322"/>
      <c r="H16" s="322"/>
      <c r="I16" s="322"/>
      <c r="J16" s="322"/>
      <c r="K16" s="322"/>
      <c r="L16" s="339">
        <f t="shared" ref="L16:R16" si="9">L18*L28</f>
        <v>19452.527819585946</v>
      </c>
      <c r="M16" s="339">
        <f t="shared" si="9"/>
        <v>20699.668750688208</v>
      </c>
      <c r="N16" s="339">
        <f t="shared" si="9"/>
        <v>22915.747681494671</v>
      </c>
      <c r="O16" s="339">
        <f t="shared" si="9"/>
        <v>25239.340214315496</v>
      </c>
      <c r="P16" s="339">
        <f t="shared" si="9"/>
        <v>29364.468986148902</v>
      </c>
      <c r="Q16" s="339">
        <f t="shared" si="9"/>
        <v>31225.771910107913</v>
      </c>
      <c r="R16" s="339">
        <f t="shared" si="9"/>
        <v>34419.735092624978</v>
      </c>
      <c r="S16" s="339">
        <f t="shared" ref="S16:Y16" si="10">S18*S28</f>
        <v>36795.918341709126</v>
      </c>
      <c r="T16" s="339">
        <f t="shared" si="10"/>
        <v>39812.291323780897</v>
      </c>
      <c r="U16" s="339">
        <f t="shared" si="10"/>
        <v>41633.693431321597</v>
      </c>
      <c r="V16" s="339">
        <f t="shared" si="10"/>
        <v>43335.640976853625</v>
      </c>
      <c r="W16" s="339">
        <f t="shared" si="10"/>
        <v>43460.841603327761</v>
      </c>
      <c r="X16" s="339">
        <f t="shared" si="10"/>
        <v>38498.925896693487</v>
      </c>
      <c r="Y16" s="339">
        <f t="shared" si="10"/>
        <v>35039.374746525704</v>
      </c>
      <c r="Z16" s="339">
        <f>Z18*Z28</f>
        <v>35845.528207436189</v>
      </c>
      <c r="AA16" s="322"/>
      <c r="AB16" s="322"/>
      <c r="AC16" s="322"/>
      <c r="AD16" s="322"/>
      <c r="AE16" s="322"/>
      <c r="AF16" s="322"/>
      <c r="AG16" s="322"/>
      <c r="AH16" s="322"/>
      <c r="AI16" s="322"/>
      <c r="AJ16" s="322"/>
      <c r="AK16" s="322"/>
      <c r="AL16" s="322"/>
      <c r="AM16" s="322"/>
      <c r="AN16" s="322"/>
      <c r="AO16" s="322"/>
      <c r="AP16" s="322"/>
      <c r="AQ16" s="322"/>
      <c r="AR16" s="322"/>
      <c r="AS16" s="322"/>
      <c r="AT16" s="322"/>
      <c r="AU16" s="322"/>
      <c r="AV16" s="322"/>
      <c r="AW16" s="322"/>
      <c r="AX16" s="322"/>
      <c r="AY16" s="322"/>
      <c r="AZ16" s="322"/>
      <c r="BA16" s="322"/>
      <c r="BB16" s="322"/>
      <c r="BC16" s="322"/>
      <c r="BD16" s="14"/>
      <c r="BE16" s="14"/>
      <c r="BF16" s="21"/>
    </row>
    <row r="17" spans="1:58">
      <c r="A17" s="2" t="s">
        <v>54</v>
      </c>
      <c r="B17" s="322"/>
      <c r="C17" s="322"/>
      <c r="D17" s="322"/>
      <c r="E17" s="330"/>
      <c r="F17" s="330"/>
      <c r="G17" s="330"/>
      <c r="H17" s="330"/>
      <c r="I17" s="330"/>
      <c r="J17" s="337">
        <v>116013.32554799999</v>
      </c>
      <c r="K17" s="337">
        <v>113540.81433600001</v>
      </c>
      <c r="L17" s="337">
        <v>116445.63747899997</v>
      </c>
      <c r="M17" s="337">
        <v>120834.80590200005</v>
      </c>
      <c r="N17" s="337">
        <v>127524.974263</v>
      </c>
      <c r="O17" s="337">
        <v>126341.71484500002</v>
      </c>
      <c r="P17" s="337">
        <v>131634.53294999996</v>
      </c>
      <c r="Q17" s="337">
        <v>134134.69781699998</v>
      </c>
      <c r="R17" s="337">
        <v>137986.78062799998</v>
      </c>
      <c r="S17" s="337">
        <v>136555.84062800003</v>
      </c>
      <c r="T17" s="337">
        <v>139750.381371</v>
      </c>
      <c r="U17" s="337">
        <v>146524.88201299997</v>
      </c>
      <c r="V17" s="337">
        <v>150525.69154</v>
      </c>
      <c r="W17" s="337">
        <v>147352.306453</v>
      </c>
      <c r="X17" s="337">
        <v>138366.37990199996</v>
      </c>
      <c r="Y17" s="337">
        <v>129718.05126500012</v>
      </c>
      <c r="Z17" s="330">
        <f>'Domestic Mobile Financials'!Z4</f>
        <v>129147</v>
      </c>
      <c r="AA17" s="330">
        <f>'Domestic Mobile Financials'!AA4</f>
        <v>122450</v>
      </c>
      <c r="AB17" s="330">
        <f>'Domestic Mobile Financials'!AB4</f>
        <v>107510.397343</v>
      </c>
      <c r="AC17" s="330">
        <f>'Domestic Mobile Financials'!AC4</f>
        <v>103532.13564700008</v>
      </c>
      <c r="AD17" s="330">
        <f>'Domestic Mobile Financials'!AD4</f>
        <v>104803.372189</v>
      </c>
      <c r="AE17" s="330">
        <f>'Domestic Mobile Financials'!AE4</f>
        <v>102521.19872900001</v>
      </c>
      <c r="AF17" s="330">
        <f>'Domestic Mobile Financials'!AF4</f>
        <v>101893.78246699997</v>
      </c>
      <c r="AG17" s="330">
        <f>'Domestic Mobile Financials'!AG4</f>
        <v>106322.38429300005</v>
      </c>
      <c r="AH17" s="330">
        <f>'Domestic Mobile Financials'!AH4</f>
        <v>108667.339108</v>
      </c>
      <c r="AI17" s="330">
        <f>'Domestic Mobile Financials'!AI4</f>
        <v>109814</v>
      </c>
      <c r="AJ17" s="330">
        <f>'Domestic Mobile Financials'!AJ4</f>
        <v>111652.89238099997</v>
      </c>
      <c r="AK17" s="330">
        <f>'Domestic Mobile Financials'!AK4</f>
        <v>129528.76147499999</v>
      </c>
      <c r="AL17" s="330">
        <f>'Domestic Mobile Financials'!AL4</f>
        <v>128771.034046</v>
      </c>
      <c r="AM17" s="330">
        <f>'Domestic Mobile Financials'!AM4</f>
        <v>138319.26007099997</v>
      </c>
      <c r="AN17" s="330">
        <f>'Domestic Mobile Financials'!AN4</f>
        <v>147789.157779</v>
      </c>
      <c r="AO17" s="330">
        <f>'Domestic Mobile Financials'!AO4</f>
        <v>140796.52852500009</v>
      </c>
      <c r="AP17" s="330">
        <f>'Domestic Mobile Financials'!AP4</f>
        <v>143055.61118499999</v>
      </c>
      <c r="AQ17" s="330">
        <f>'Domestic Mobile Financials'!AQ4</f>
        <v>151914</v>
      </c>
      <c r="AR17" s="330">
        <f>'Domestic Mobile Financials'!AR4</f>
        <v>160173.31711710998</v>
      </c>
      <c r="AS17" s="330">
        <f>'Domestic Mobile Financials'!AS4</f>
        <v>175262.06535446507</v>
      </c>
      <c r="AT17" s="330">
        <f>'Domestic Mobile Financials'!AT4</f>
        <v>181404.25125552001</v>
      </c>
      <c r="AU17" s="330">
        <f>'Domestic Mobile Financials'!AU4</f>
        <v>188822.59666189004</v>
      </c>
      <c r="AV17" s="330">
        <f>'Domestic Mobile Financials'!AV4</f>
        <v>193526.52150788001</v>
      </c>
      <c r="AW17" s="330">
        <f>'Domestic Mobile Financials'!AW4</f>
        <v>195492.58361471014</v>
      </c>
      <c r="AX17" s="330">
        <f>'Domestic Mobile Financials'!AX4</f>
        <v>203924.44172899998</v>
      </c>
      <c r="AY17" s="330">
        <f>'Domestic Mobile Financials'!AY4</f>
        <v>209520.93762199997</v>
      </c>
      <c r="AZ17" s="330">
        <f>'Domestic Mobile Financials'!AZ4</f>
        <v>216385.55117799997</v>
      </c>
      <c r="BA17" s="330">
        <f>'Domestic Mobile Financials'!BA4</f>
        <v>220656.78353400007</v>
      </c>
      <c r="BB17" s="330">
        <f>'Domestic Mobile Financials'!BB4</f>
        <v>225274.4</v>
      </c>
      <c r="BC17" s="330">
        <f>'Domestic Mobile Financials'!BC4</f>
        <v>248371</v>
      </c>
      <c r="BD17" s="54"/>
      <c r="BE17" s="14"/>
      <c r="BF17" s="21"/>
    </row>
    <row r="18" spans="1:58">
      <c r="A18" s="106" t="s">
        <v>417</v>
      </c>
      <c r="B18" s="337">
        <v>94446.15</v>
      </c>
      <c r="C18" s="337">
        <v>93870.764999999999</v>
      </c>
      <c r="D18" s="337">
        <v>97736.297999999995</v>
      </c>
      <c r="E18" s="337">
        <v>101190.22199999999</v>
      </c>
      <c r="F18" s="337">
        <v>102281.22749999999</v>
      </c>
      <c r="G18" s="337">
        <v>99090.971999999994</v>
      </c>
      <c r="H18" s="337">
        <v>102076.71</v>
      </c>
      <c r="I18" s="337">
        <v>107156.109</v>
      </c>
      <c r="J18" s="337">
        <v>113669.897994</v>
      </c>
      <c r="K18" s="337">
        <v>110616.94978900002</v>
      </c>
      <c r="L18" s="337">
        <v>114389.49204899999</v>
      </c>
      <c r="M18" s="337">
        <v>119113.478068</v>
      </c>
      <c r="N18" s="337">
        <v>126058.45897199999</v>
      </c>
      <c r="O18" s="337">
        <v>124696.17629300003</v>
      </c>
      <c r="P18" s="337">
        <v>130136.56298699998</v>
      </c>
      <c r="Q18" s="337">
        <v>131873.77286799997</v>
      </c>
      <c r="R18" s="337">
        <v>135999.595256</v>
      </c>
      <c r="S18" s="337">
        <v>134349.68513</v>
      </c>
      <c r="T18" s="337">
        <v>137849.93325599999</v>
      </c>
      <c r="U18" s="337">
        <v>144042.66462299996</v>
      </c>
      <c r="V18" s="337">
        <v>148765.239221</v>
      </c>
      <c r="W18" s="337">
        <v>145065.17830699999</v>
      </c>
      <c r="X18" s="337">
        <v>135643.69329600004</v>
      </c>
      <c r="Y18" s="337">
        <v>127612.35981400008</v>
      </c>
      <c r="Z18" s="337">
        <v>128569.80308099999</v>
      </c>
      <c r="AA18" s="337">
        <v>122115</v>
      </c>
      <c r="AB18" s="337">
        <f>105709.122379</f>
        <v>105709.12237899999</v>
      </c>
      <c r="AC18" s="337">
        <v>102220.84583600005</v>
      </c>
      <c r="AD18" s="337">
        <v>103036.44149900001</v>
      </c>
      <c r="AE18" s="337">
        <v>100703.82033399999</v>
      </c>
      <c r="AF18" s="337">
        <v>100532</v>
      </c>
      <c r="AG18" s="337">
        <v>104870</v>
      </c>
      <c r="AH18" s="337">
        <v>107240.17285499998</v>
      </c>
      <c r="AI18" s="337">
        <v>108118</v>
      </c>
      <c r="AJ18" s="337">
        <v>113969.35306800001</v>
      </c>
      <c r="AK18" s="337">
        <v>129529</v>
      </c>
      <c r="AL18" s="340">
        <f t="shared" ref="AL18:AQ18" si="11">AL17</f>
        <v>128771.034046</v>
      </c>
      <c r="AM18" s="340">
        <f t="shared" si="11"/>
        <v>138319.26007099997</v>
      </c>
      <c r="AN18" s="340">
        <f t="shared" si="11"/>
        <v>147789.157779</v>
      </c>
      <c r="AO18" s="340">
        <f t="shared" si="11"/>
        <v>140796.52852500009</v>
      </c>
      <c r="AP18" s="340">
        <f t="shared" si="11"/>
        <v>143055.61118499999</v>
      </c>
      <c r="AQ18" s="340">
        <f t="shared" si="11"/>
        <v>151914</v>
      </c>
      <c r="AR18" s="340">
        <f t="shared" ref="AR18:AU18" si="12">AR17</f>
        <v>160173.31711710998</v>
      </c>
      <c r="AS18" s="340">
        <f t="shared" si="12"/>
        <v>175262.06535446507</v>
      </c>
      <c r="AT18" s="340">
        <f t="shared" si="12"/>
        <v>181404.25125552001</v>
      </c>
      <c r="AU18" s="340">
        <f t="shared" si="12"/>
        <v>188822.59666189004</v>
      </c>
      <c r="AV18" s="340">
        <f t="shared" ref="AV18:AW18" si="13">AV17</f>
        <v>193526.52150788001</v>
      </c>
      <c r="AW18" s="340">
        <f t="shared" si="13"/>
        <v>195492.58361471014</v>
      </c>
      <c r="AX18" s="340">
        <f t="shared" ref="AX18:AY18" si="14">AX17</f>
        <v>203924.44172899998</v>
      </c>
      <c r="AY18" s="340">
        <f t="shared" si="14"/>
        <v>209520.93762199997</v>
      </c>
      <c r="AZ18" s="340">
        <f t="shared" ref="AZ18:BA18" si="15">AZ17</f>
        <v>216385.55117799997</v>
      </c>
      <c r="BA18" s="340">
        <f t="shared" si="15"/>
        <v>220656.78353400007</v>
      </c>
      <c r="BB18" s="340">
        <f t="shared" ref="BB18:BC18" si="16">BB17</f>
        <v>225274.4</v>
      </c>
      <c r="BC18" s="340">
        <f t="shared" si="16"/>
        <v>248371</v>
      </c>
      <c r="BD18" s="54"/>
      <c r="BE18" s="14"/>
      <c r="BF18" s="21"/>
    </row>
    <row r="19" spans="1:58">
      <c r="A19" s="106" t="s">
        <v>368</v>
      </c>
      <c r="B19" s="341"/>
      <c r="C19" s="341"/>
      <c r="D19" s="341"/>
      <c r="E19" s="330"/>
      <c r="F19" s="330"/>
      <c r="G19" s="330"/>
      <c r="H19" s="330"/>
      <c r="I19" s="330"/>
      <c r="J19" s="337">
        <v>2343.4275539999944</v>
      </c>
      <c r="K19" s="337">
        <v>2923.8645469999901</v>
      </c>
      <c r="L19" s="337">
        <v>2056.145429999975</v>
      </c>
      <c r="M19" s="337">
        <v>1721.3278340000543</v>
      </c>
      <c r="N19" s="337">
        <v>1466.5152910000033</v>
      </c>
      <c r="O19" s="337">
        <v>1645.5385519999982</v>
      </c>
      <c r="P19" s="337">
        <v>1497.9699629999814</v>
      </c>
      <c r="Q19" s="337">
        <v>2260.9249490000075</v>
      </c>
      <c r="R19" s="337">
        <v>1987.1853719999781</v>
      </c>
      <c r="S19" s="337">
        <v>2206.1554980000365</v>
      </c>
      <c r="T19" s="337">
        <v>1900.4481150000065</v>
      </c>
      <c r="U19" s="337">
        <v>2482.2173900000053</v>
      </c>
      <c r="V19" s="337">
        <v>1760.4523190000036</v>
      </c>
      <c r="W19" s="337">
        <v>2287.1281460000027</v>
      </c>
      <c r="X19" s="337">
        <v>2722.6866059999156</v>
      </c>
      <c r="Y19" s="337">
        <v>2105.6914510000352</v>
      </c>
      <c r="Z19" s="337">
        <v>576.90264900001057</v>
      </c>
      <c r="AA19" s="330">
        <f>AA17-AA18</f>
        <v>335</v>
      </c>
      <c r="AB19" s="330">
        <f t="shared" ref="AB19:AK19" si="17">AB17-AB18</f>
        <v>1801.2749640000111</v>
      </c>
      <c r="AC19" s="330">
        <f t="shared" si="17"/>
        <v>1311.2898110000242</v>
      </c>
      <c r="AD19" s="330">
        <f t="shared" si="17"/>
        <v>1766.9306899999938</v>
      </c>
      <c r="AE19" s="330">
        <f t="shared" si="17"/>
        <v>1817.3783950000216</v>
      </c>
      <c r="AF19" s="330">
        <f t="shared" si="17"/>
        <v>1361.7824669999682</v>
      </c>
      <c r="AG19" s="330">
        <f t="shared" si="17"/>
        <v>1452.3842930000537</v>
      </c>
      <c r="AH19" s="330">
        <f t="shared" si="17"/>
        <v>1427.1662530000176</v>
      </c>
      <c r="AI19" s="330">
        <f t="shared" si="17"/>
        <v>1696</v>
      </c>
      <c r="AJ19" s="330">
        <f t="shared" si="17"/>
        <v>-2316.4606870000425</v>
      </c>
      <c r="AK19" s="330">
        <f t="shared" si="17"/>
        <v>-0.23852500000793952</v>
      </c>
      <c r="AL19" s="330"/>
      <c r="AM19" s="330"/>
      <c r="AN19" s="330"/>
      <c r="AO19" s="330"/>
      <c r="AP19" s="330"/>
      <c r="AQ19" s="330"/>
      <c r="AR19" s="330"/>
      <c r="AS19" s="330"/>
      <c r="AT19" s="330"/>
      <c r="AU19" s="330"/>
      <c r="AV19" s="330"/>
      <c r="AW19" s="330"/>
      <c r="AX19" s="330"/>
      <c r="AY19" s="330"/>
      <c r="AZ19" s="330"/>
      <c r="BA19" s="330"/>
      <c r="BB19" s="330"/>
      <c r="BC19" s="330"/>
      <c r="BD19" s="54"/>
      <c r="BE19" s="14"/>
      <c r="BF19" s="21"/>
    </row>
    <row r="20" spans="1:58" ht="8.25" customHeight="1">
      <c r="A20" s="106"/>
      <c r="B20" s="341"/>
      <c r="C20" s="341"/>
      <c r="D20" s="341"/>
      <c r="E20" s="341"/>
      <c r="F20" s="341"/>
      <c r="G20" s="341"/>
      <c r="H20" s="341"/>
      <c r="I20" s="341"/>
      <c r="J20" s="341"/>
      <c r="K20" s="341"/>
      <c r="L20" s="341"/>
      <c r="M20" s="341"/>
      <c r="N20" s="341"/>
      <c r="O20" s="341"/>
      <c r="P20" s="341"/>
      <c r="Q20" s="341"/>
      <c r="R20" s="341"/>
      <c r="S20" s="341"/>
      <c r="T20" s="341"/>
      <c r="U20" s="341"/>
      <c r="V20" s="341"/>
      <c r="W20" s="341"/>
      <c r="X20" s="341"/>
      <c r="Y20" s="341"/>
      <c r="Z20" s="341"/>
      <c r="AA20" s="341"/>
      <c r="AB20" s="341"/>
      <c r="AC20" s="341"/>
      <c r="AD20" s="341"/>
      <c r="AE20" s="341"/>
      <c r="AF20" s="341"/>
      <c r="AG20" s="341"/>
      <c r="AH20" s="341"/>
      <c r="AI20" s="341"/>
      <c r="AJ20" s="341"/>
      <c r="AK20" s="341"/>
      <c r="AL20" s="341"/>
      <c r="AM20" s="341"/>
      <c r="AN20" s="341"/>
      <c r="AO20" s="341"/>
      <c r="AP20" s="341"/>
      <c r="AQ20" s="341"/>
      <c r="AR20" s="341"/>
      <c r="AS20" s="341"/>
      <c r="AT20" s="341"/>
      <c r="AU20" s="341"/>
      <c r="AV20" s="341"/>
      <c r="AW20" s="341"/>
      <c r="AX20" s="341"/>
      <c r="AY20" s="341"/>
      <c r="AZ20" s="341"/>
      <c r="BA20" s="341"/>
      <c r="BB20" s="341"/>
      <c r="BC20" s="341"/>
      <c r="BD20" s="42"/>
      <c r="BE20" s="14"/>
      <c r="BF20" s="21"/>
    </row>
    <row r="21" spans="1:58">
      <c r="A21" s="106" t="s">
        <v>369</v>
      </c>
      <c r="B21" s="341"/>
      <c r="C21" s="341"/>
      <c r="D21" s="341"/>
      <c r="E21" s="341"/>
      <c r="F21" s="341"/>
      <c r="G21" s="341"/>
      <c r="H21" s="341"/>
      <c r="I21" s="341"/>
      <c r="J21" s="341"/>
      <c r="K21" s="341"/>
      <c r="L21" s="341"/>
      <c r="M21" s="341"/>
      <c r="N21" s="341"/>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1"/>
      <c r="AL21" s="341"/>
      <c r="AM21" s="341"/>
      <c r="AN21" s="341"/>
      <c r="AO21" s="341"/>
      <c r="AP21" s="341"/>
      <c r="AQ21" s="341"/>
      <c r="AR21" s="341"/>
      <c r="AS21" s="341"/>
      <c r="AT21" s="341"/>
      <c r="AU21" s="341"/>
      <c r="AV21" s="341"/>
      <c r="AW21" s="341"/>
      <c r="AX21" s="341"/>
      <c r="AY21" s="341"/>
      <c r="AZ21" s="341"/>
      <c r="BA21" s="341"/>
      <c r="BB21" s="341"/>
      <c r="BC21" s="341"/>
      <c r="BD21" s="42"/>
      <c r="BE21" s="14"/>
      <c r="BF21" s="21"/>
    </row>
    <row r="22" spans="1:58">
      <c r="A22" s="2" t="s">
        <v>100</v>
      </c>
      <c r="B22" s="338">
        <v>221202.82500000001</v>
      </c>
      <c r="C22" s="338">
        <v>216979.965</v>
      </c>
      <c r="D22" s="338">
        <v>218992.02600000001</v>
      </c>
      <c r="E22" s="338">
        <v>230364.62754769999</v>
      </c>
      <c r="F22" s="338">
        <v>239337.81348305999</v>
      </c>
      <c r="G22" s="338">
        <v>234224.38987940003</v>
      </c>
      <c r="H22" s="338">
        <v>240813.81853699998</v>
      </c>
      <c r="I22" s="338">
        <v>253143.56180276</v>
      </c>
      <c r="J22" s="338">
        <v>258379.86912550998</v>
      </c>
      <c r="K22" s="338">
        <v>251322.05690538001</v>
      </c>
      <c r="L22" s="338">
        <v>255030.30531554</v>
      </c>
      <c r="M22" s="338">
        <v>264843.27009427</v>
      </c>
      <c r="N22" s="338">
        <v>270827.02302154002</v>
      </c>
      <c r="O22" s="338">
        <v>263905.20611363999</v>
      </c>
      <c r="P22" s="338">
        <v>267485.41971031995</v>
      </c>
      <c r="Q22" s="338">
        <v>277868.92625838995</v>
      </c>
      <c r="R22" s="338">
        <v>290802.14292746998</v>
      </c>
      <c r="S22" s="338">
        <v>282138.00907671999</v>
      </c>
      <c r="T22" s="338">
        <v>290458.74710407999</v>
      </c>
      <c r="U22" s="338">
        <v>307988.33833807003</v>
      </c>
      <c r="V22" s="337">
        <v>314831.30049977999</v>
      </c>
      <c r="W22" s="337">
        <v>313403.13607383001</v>
      </c>
      <c r="X22" s="337">
        <v>330216.61634343001</v>
      </c>
      <c r="Y22" s="337">
        <v>381236.12602492003</v>
      </c>
      <c r="Z22" s="337">
        <v>421911.62540765997</v>
      </c>
      <c r="AA22" s="337">
        <v>437142</v>
      </c>
      <c r="AB22" s="337">
        <v>494545.90622746001</v>
      </c>
      <c r="AC22" s="337">
        <v>592657.14136772999</v>
      </c>
      <c r="AD22" s="337">
        <v>684191.41463047336</v>
      </c>
      <c r="AE22" s="337">
        <v>693060.86222954001</v>
      </c>
      <c r="AF22" s="337">
        <v>702881</v>
      </c>
      <c r="AG22" s="337">
        <v>731187</v>
      </c>
      <c r="AH22" s="337">
        <v>737108.47137195</v>
      </c>
      <c r="AI22" s="337">
        <v>716642</v>
      </c>
      <c r="AJ22" s="337">
        <v>758896.60736497003</v>
      </c>
      <c r="AK22" s="337">
        <v>821899.94168423</v>
      </c>
      <c r="AL22" s="337">
        <v>820246.12499784003</v>
      </c>
      <c r="AM22" s="337">
        <v>860854</v>
      </c>
      <c r="AN22" s="337">
        <v>924911</v>
      </c>
      <c r="AO22" s="337">
        <v>996793.09685994009</v>
      </c>
      <c r="AP22" s="337">
        <v>1002263.30378045</v>
      </c>
      <c r="AQ22" s="337">
        <v>1020414.6202869101</v>
      </c>
      <c r="AR22" s="337">
        <v>1029802.1366506601</v>
      </c>
      <c r="AS22" s="337">
        <v>1051115.67247249</v>
      </c>
      <c r="AT22" s="337">
        <v>1078960.7100116899</v>
      </c>
      <c r="AU22" s="337">
        <v>1063010.5771014099</v>
      </c>
      <c r="AV22" s="337">
        <v>1081949.70515667</v>
      </c>
      <c r="AW22" s="337">
        <v>1124343.08173518</v>
      </c>
      <c r="AX22" s="337">
        <v>1148792.582854941</v>
      </c>
      <c r="AY22" s="337">
        <v>1147713.25204242</v>
      </c>
      <c r="AZ22" s="337">
        <v>1160820.40713142</v>
      </c>
      <c r="BA22" s="337">
        <v>1209563.6851983101</v>
      </c>
      <c r="BB22" s="337">
        <v>1195079.7236666</v>
      </c>
      <c r="BC22" s="337">
        <v>1199794.5689879502</v>
      </c>
      <c r="BD22" s="199"/>
      <c r="BE22" s="99"/>
      <c r="BF22" s="21"/>
    </row>
    <row r="23" spans="1:58">
      <c r="A23" s="2" t="s">
        <v>101</v>
      </c>
      <c r="B23" s="338">
        <v>161</v>
      </c>
      <c r="C23" s="338">
        <v>153</v>
      </c>
      <c r="D23" s="338">
        <v>157</v>
      </c>
      <c r="E23" s="338">
        <v>158.30489258484317</v>
      </c>
      <c r="F23" s="338">
        <v>154.45466511977006</v>
      </c>
      <c r="G23" s="338">
        <v>147.59321285226011</v>
      </c>
      <c r="H23" s="338">
        <v>152.9132415647295</v>
      </c>
      <c r="I23" s="338">
        <v>159.37714498056383</v>
      </c>
      <c r="J23" s="338">
        <v>166.47664916065546</v>
      </c>
      <c r="K23" s="338">
        <v>160.58332818150225</v>
      </c>
      <c r="L23" s="338">
        <v>161.63031850862154</v>
      </c>
      <c r="M23" s="338">
        <v>162.33414271483409</v>
      </c>
      <c r="N23" s="338">
        <v>165.7867661864434</v>
      </c>
      <c r="O23" s="338">
        <v>157.69544092113156</v>
      </c>
      <c r="P23" s="338">
        <v>156.66025849955625</v>
      </c>
      <c r="Q23" s="338">
        <v>151.3989524250857</v>
      </c>
      <c r="R23" s="338">
        <v>148.06821618719462</v>
      </c>
      <c r="S23" s="338">
        <v>139.843960791548</v>
      </c>
      <c r="T23" s="338">
        <v>136.54105255583454</v>
      </c>
      <c r="U23" s="338">
        <v>138.06521688092354</v>
      </c>
      <c r="V23" s="337">
        <v>138.71663909649874</v>
      </c>
      <c r="W23" s="337">
        <v>131.58581162786314</v>
      </c>
      <c r="X23" s="337">
        <v>123.19972515217091</v>
      </c>
      <c r="Y23" s="337">
        <v>114.31564152437926</v>
      </c>
      <c r="Z23" s="337">
        <v>111.41414070027672</v>
      </c>
      <c r="AA23" s="342"/>
      <c r="AB23" s="342"/>
      <c r="AC23" s="342"/>
      <c r="AD23" s="342"/>
      <c r="AE23" s="342"/>
      <c r="AF23" s="342"/>
      <c r="AG23" s="342"/>
      <c r="AH23" s="342"/>
      <c r="AI23" s="342"/>
      <c r="AJ23" s="342"/>
      <c r="AK23" s="342"/>
      <c r="AL23" s="342"/>
      <c r="AM23" s="342"/>
      <c r="AN23" s="342"/>
      <c r="AO23" s="342"/>
      <c r="AP23" s="342"/>
      <c r="AQ23" s="342"/>
      <c r="AR23" s="342"/>
      <c r="AS23" s="342"/>
      <c r="AT23" s="342"/>
      <c r="AU23" s="342"/>
      <c r="AV23" s="342"/>
      <c r="AW23" s="342"/>
      <c r="AX23" s="342"/>
      <c r="AY23" s="342"/>
      <c r="AZ23" s="342"/>
      <c r="BA23" s="342"/>
      <c r="BB23" s="342"/>
      <c r="BC23" s="342"/>
      <c r="BD23" s="15"/>
      <c r="BE23" s="14"/>
      <c r="BF23" s="21"/>
    </row>
    <row r="24" spans="1:58">
      <c r="A24" s="2" t="s">
        <v>102</v>
      </c>
      <c r="B24" s="338">
        <v>445</v>
      </c>
      <c r="C24" s="338">
        <v>423</v>
      </c>
      <c r="D24" s="338">
        <v>419</v>
      </c>
      <c r="E24" s="338">
        <v>431.23406379901189</v>
      </c>
      <c r="F24" s="338">
        <v>432.89195636487352</v>
      </c>
      <c r="G24" s="338">
        <v>416.52978909345092</v>
      </c>
      <c r="H24" s="338">
        <v>434.72935390121233</v>
      </c>
      <c r="I24" s="338">
        <v>455.40297421390164</v>
      </c>
      <c r="J24" s="338">
        <v>454.89342221033593</v>
      </c>
      <c r="K24" s="338">
        <v>436.5035346803345</v>
      </c>
      <c r="L24" s="338">
        <v>434.1894625418995</v>
      </c>
      <c r="M24" s="338">
        <v>436.86683478563754</v>
      </c>
      <c r="N24" s="338">
        <v>435.31703937156232</v>
      </c>
      <c r="O24" s="338">
        <v>418.43928964870616</v>
      </c>
      <c r="P24" s="338">
        <v>415.83273040180273</v>
      </c>
      <c r="Q24" s="338">
        <v>417.98211535869444</v>
      </c>
      <c r="R24" s="338">
        <v>423.88869700579698</v>
      </c>
      <c r="S24" s="338">
        <v>404.44667569582725</v>
      </c>
      <c r="T24" s="338">
        <v>404.5338328420803</v>
      </c>
      <c r="U24" s="338">
        <v>415.22218448862037</v>
      </c>
      <c r="V24" s="337">
        <v>414.2322518063288</v>
      </c>
      <c r="W24" s="337">
        <v>405.88234090112473</v>
      </c>
      <c r="X24" s="337">
        <v>418.78319814146624</v>
      </c>
      <c r="Y24" s="337">
        <v>470.77721742517468</v>
      </c>
      <c r="Z24" s="337">
        <v>506.95377516134562</v>
      </c>
      <c r="AA24" s="337">
        <v>518</v>
      </c>
      <c r="AB24" s="337">
        <v>574.51065982302623</v>
      </c>
      <c r="AC24" s="337">
        <v>670.00369560013212</v>
      </c>
      <c r="AD24" s="337">
        <v>699.85112846395793</v>
      </c>
      <c r="AE24" s="337">
        <v>686</v>
      </c>
      <c r="AF24" s="337">
        <v>726</v>
      </c>
      <c r="AG24" s="337">
        <v>858</v>
      </c>
      <c r="AH24" s="337">
        <v>888.4787121753219</v>
      </c>
      <c r="AI24" s="337">
        <v>848</v>
      </c>
      <c r="AJ24" s="337">
        <v>897.94506290037737</v>
      </c>
      <c r="AK24" s="337">
        <v>965.01020928593778</v>
      </c>
      <c r="AL24" s="337">
        <v>993.71886208542912</v>
      </c>
      <c r="AM24" s="337">
        <v>1005</v>
      </c>
      <c r="AN24" s="337">
        <v>1027</v>
      </c>
      <c r="AO24" s="337">
        <v>1052.7979559041944</v>
      </c>
      <c r="AP24" s="337">
        <v>1043.9879869451122</v>
      </c>
      <c r="AQ24" s="337">
        <v>1052.8949213927979</v>
      </c>
      <c r="AR24" s="337">
        <v>1060.6729294535237</v>
      </c>
      <c r="AS24" s="337">
        <v>1082.7037308418614</v>
      </c>
      <c r="AT24" s="337">
        <v>1103.8297277550466</v>
      </c>
      <c r="AU24" s="337">
        <v>1081.7010042667714</v>
      </c>
      <c r="AV24" s="337">
        <v>1093.5771820419661</v>
      </c>
      <c r="AW24" s="337">
        <v>1122.2647596268271</v>
      </c>
      <c r="AX24" s="337">
        <v>1137.8366422681299</v>
      </c>
      <c r="AY24" s="337">
        <v>1123.0891380330163</v>
      </c>
      <c r="AZ24" s="337">
        <v>1126.6651060294257</v>
      </c>
      <c r="BA24" s="337">
        <v>1157.9182279734218</v>
      </c>
      <c r="BB24" s="337">
        <v>1127.8280349408053</v>
      </c>
      <c r="BC24" s="337">
        <v>1134.9890117921996</v>
      </c>
      <c r="BD24" s="15"/>
      <c r="BE24" s="14"/>
      <c r="BF24" s="21"/>
    </row>
    <row r="25" spans="1:58">
      <c r="A25" s="2" t="s">
        <v>459</v>
      </c>
      <c r="B25" s="334">
        <v>36.179775280898902</v>
      </c>
      <c r="C25" s="334">
        <v>36.170212765957402</v>
      </c>
      <c r="D25" s="334">
        <v>37.470167064439103</v>
      </c>
      <c r="E25" s="334">
        <v>36.709737442871713</v>
      </c>
      <c r="F25" s="334">
        <v>35.679726280149268</v>
      </c>
      <c r="G25" s="334">
        <v>35.434011376109936</v>
      </c>
      <c r="H25" s="334">
        <v>35.174353926760013</v>
      </c>
      <c r="I25" s="334">
        <v>34.996948637780484</v>
      </c>
      <c r="J25" s="334">
        <v>36.596846872777853</v>
      </c>
      <c r="K25" s="334">
        <v>36.788551620573372</v>
      </c>
      <c r="L25" s="334">
        <v>37.225757981868149</v>
      </c>
      <c r="M25" s="334">
        <v>37.159361275879583</v>
      </c>
      <c r="N25" s="334">
        <v>38.08432517825586</v>
      </c>
      <c r="O25" s="334">
        <v>37.686576003300786</v>
      </c>
      <c r="P25" s="334">
        <v>37.673864283886857</v>
      </c>
      <c r="Q25" s="334">
        <v>36.221394854457245</v>
      </c>
      <c r="R25" s="334">
        <v>34.93091871359092</v>
      </c>
      <c r="S25" s="334">
        <v>34.576612739109422</v>
      </c>
      <c r="T25" s="334">
        <v>33.752690497246171</v>
      </c>
      <c r="U25" s="334">
        <v>33.25092493575746</v>
      </c>
      <c r="V25" s="335">
        <v>33.487648171189399</v>
      </c>
      <c r="W25" s="335">
        <v>32.419693681602716</v>
      </c>
      <c r="X25" s="335">
        <v>29.41849761378289</v>
      </c>
      <c r="Y25" s="335">
        <v>24.282322358249758</v>
      </c>
      <c r="Z25" s="335">
        <v>21.977179411439927</v>
      </c>
      <c r="AA25" s="343"/>
      <c r="AB25" s="343"/>
      <c r="AC25" s="343"/>
      <c r="AD25" s="343"/>
      <c r="AE25" s="343"/>
      <c r="AF25" s="343"/>
      <c r="AG25" s="343"/>
      <c r="AH25" s="343"/>
      <c r="AI25" s="343"/>
      <c r="AJ25" s="343"/>
      <c r="AK25" s="343"/>
      <c r="AL25" s="343"/>
      <c r="AM25" s="343"/>
      <c r="AN25" s="343"/>
      <c r="AO25" s="343"/>
      <c r="AP25" s="343"/>
      <c r="AQ25" s="343"/>
      <c r="AR25" s="343"/>
      <c r="AS25" s="343"/>
      <c r="AT25" s="343"/>
      <c r="AU25" s="343"/>
      <c r="AV25" s="343"/>
      <c r="AW25" s="343"/>
      <c r="AX25" s="343"/>
      <c r="AY25" s="343"/>
      <c r="AZ25" s="343"/>
      <c r="BA25" s="343"/>
      <c r="BB25" s="343"/>
      <c r="BC25" s="343"/>
      <c r="BD25" s="201"/>
      <c r="BE25" s="14"/>
      <c r="BF25" s="21"/>
    </row>
    <row r="26" spans="1:58" ht="10.5" customHeight="1">
      <c r="A26" s="2"/>
      <c r="B26" s="322"/>
      <c r="C26" s="322"/>
      <c r="D26" s="322"/>
      <c r="E26" s="322"/>
      <c r="F26" s="322"/>
      <c r="G26" s="322"/>
      <c r="H26" s="322"/>
      <c r="I26" s="322"/>
      <c r="J26" s="322"/>
      <c r="K26" s="322"/>
      <c r="L26" s="322"/>
      <c r="M26" s="322"/>
      <c r="N26" s="322"/>
      <c r="O26" s="322"/>
      <c r="P26" s="322"/>
      <c r="Q26" s="322"/>
      <c r="R26" s="322"/>
      <c r="S26" s="322"/>
      <c r="T26" s="322"/>
      <c r="U26" s="322"/>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322"/>
      <c r="AS26" s="322"/>
      <c r="AT26" s="322"/>
      <c r="AU26" s="322"/>
      <c r="AV26" s="322"/>
      <c r="AW26" s="322"/>
      <c r="AX26" s="322"/>
      <c r="AY26" s="322"/>
      <c r="AZ26" s="322"/>
      <c r="BA26" s="322"/>
      <c r="BB26" s="322"/>
      <c r="BC26" s="322"/>
      <c r="BD26" s="14"/>
      <c r="BE26" s="14"/>
      <c r="BF26" s="21"/>
    </row>
    <row r="27" spans="1:58" ht="10.5" customHeight="1">
      <c r="A27" s="2"/>
      <c r="B27" s="322"/>
      <c r="C27" s="322"/>
      <c r="D27" s="322"/>
      <c r="E27" s="322"/>
      <c r="F27" s="322"/>
      <c r="G27" s="322"/>
      <c r="H27" s="322"/>
      <c r="I27" s="322"/>
      <c r="J27" s="322"/>
      <c r="K27" s="322"/>
      <c r="L27" s="322"/>
      <c r="M27" s="322"/>
      <c r="N27" s="322"/>
      <c r="O27" s="322"/>
      <c r="P27" s="322"/>
      <c r="Q27" s="322"/>
      <c r="R27" s="322"/>
      <c r="S27" s="322"/>
      <c r="T27" s="322"/>
      <c r="U27" s="322"/>
      <c r="V27" s="322"/>
      <c r="W27" s="322"/>
      <c r="X27" s="322"/>
      <c r="Y27" s="322"/>
      <c r="Z27" s="322"/>
      <c r="AA27" s="322"/>
      <c r="AB27" s="322"/>
      <c r="AC27" s="322"/>
      <c r="AD27" s="322"/>
      <c r="AE27" s="322"/>
      <c r="AF27" s="322"/>
      <c r="AG27" s="322"/>
      <c r="AH27" s="322"/>
      <c r="AI27" s="322"/>
      <c r="AJ27" s="322"/>
      <c r="AK27" s="322"/>
      <c r="AL27" s="322"/>
      <c r="AM27" s="322"/>
      <c r="AN27" s="322"/>
      <c r="AO27" s="322"/>
      <c r="AP27" s="322"/>
      <c r="AQ27" s="322"/>
      <c r="AR27" s="322"/>
      <c r="AS27" s="322"/>
      <c r="AT27" s="322"/>
      <c r="AU27" s="322"/>
      <c r="AV27" s="322"/>
      <c r="AW27" s="322"/>
      <c r="AX27" s="322"/>
      <c r="AY27" s="322"/>
      <c r="AZ27" s="322"/>
      <c r="BA27" s="322"/>
      <c r="BB27" s="322"/>
      <c r="BC27" s="322"/>
      <c r="BD27" s="14"/>
      <c r="BE27" s="14"/>
      <c r="BF27" s="21"/>
    </row>
    <row r="28" spans="1:58">
      <c r="A28" s="2" t="s">
        <v>104</v>
      </c>
      <c r="B28" s="331">
        <v>0.16500000000000001</v>
      </c>
      <c r="C28" s="331">
        <v>0.161</v>
      </c>
      <c r="D28" s="331">
        <v>0.15800000000000003</v>
      </c>
      <c r="E28" s="331">
        <v>0.16167612928536812</v>
      </c>
      <c r="F28" s="331">
        <v>0.16304695703785632</v>
      </c>
      <c r="G28" s="331">
        <v>0.16805190491633404</v>
      </c>
      <c r="H28" s="331">
        <v>0.17341534957291574</v>
      </c>
      <c r="I28" s="331">
        <v>0.17380959343319119</v>
      </c>
      <c r="J28" s="331">
        <v>0.16867534142347709</v>
      </c>
      <c r="K28" s="331">
        <v>0.16416295304978412</v>
      </c>
      <c r="L28" s="331">
        <v>0.17005519887485157</v>
      </c>
      <c r="M28" s="331">
        <v>0.17378107907210211</v>
      </c>
      <c r="N28" s="331">
        <v>0.18178667158373482</v>
      </c>
      <c r="O28" s="331">
        <v>0.20240668931989006</v>
      </c>
      <c r="P28" s="331">
        <v>0.2256434956644911</v>
      </c>
      <c r="Q28" s="331">
        <v>0.23678530788198182</v>
      </c>
      <c r="R28" s="331">
        <v>0.25308704064769233</v>
      </c>
      <c r="S28" s="331">
        <v>0.27388168648184408</v>
      </c>
      <c r="T28" s="331">
        <v>0.28880892709498679</v>
      </c>
      <c r="U28" s="331">
        <v>0.28903723449082702</v>
      </c>
      <c r="V28" s="332">
        <v>0.29130219669445656</v>
      </c>
      <c r="W28" s="332">
        <v>0.29959527234959182</v>
      </c>
      <c r="X28" s="332">
        <v>0.28382392842018533</v>
      </c>
      <c r="Y28" s="332">
        <v>0.27457665384134372</v>
      </c>
      <c r="Z28" s="332">
        <v>0.27880207753645875</v>
      </c>
      <c r="AA28" s="328"/>
      <c r="AB28" s="328"/>
      <c r="AC28" s="328"/>
      <c r="AD28" s="328"/>
      <c r="AE28" s="328"/>
      <c r="AF28" s="328"/>
      <c r="AG28" s="328"/>
      <c r="AH28" s="328"/>
      <c r="AI28" s="328"/>
      <c r="AJ28" s="328"/>
      <c r="AK28" s="328"/>
      <c r="AL28" s="328"/>
      <c r="AM28" s="328"/>
      <c r="AN28" s="328"/>
      <c r="AO28" s="328"/>
      <c r="AP28" s="328"/>
      <c r="AQ28" s="328"/>
      <c r="AR28" s="328"/>
      <c r="AS28" s="328"/>
      <c r="AT28" s="328"/>
      <c r="AU28" s="328"/>
      <c r="AV28" s="328"/>
      <c r="AW28" s="328"/>
      <c r="AX28" s="328"/>
      <c r="AY28" s="328"/>
      <c r="AZ28" s="328"/>
      <c r="BA28" s="328"/>
      <c r="BB28" s="328"/>
      <c r="BC28" s="328"/>
      <c r="BD28" s="39"/>
      <c r="BE28" s="14"/>
      <c r="BF28" s="21"/>
    </row>
    <row r="29" spans="1:58" ht="7.5" customHeight="1">
      <c r="A29" s="2"/>
      <c r="B29" s="326"/>
      <c r="C29" s="326"/>
      <c r="D29" s="326"/>
      <c r="E29" s="326"/>
      <c r="F29" s="326"/>
      <c r="G29" s="326"/>
      <c r="H29" s="326"/>
      <c r="I29" s="326"/>
      <c r="J29" s="326"/>
      <c r="K29" s="326"/>
      <c r="L29" s="326"/>
      <c r="M29" s="326"/>
      <c r="N29" s="326"/>
      <c r="O29" s="326"/>
      <c r="P29" s="326"/>
      <c r="Q29" s="326"/>
      <c r="R29" s="326"/>
      <c r="S29" s="326"/>
      <c r="T29" s="326"/>
      <c r="U29" s="326"/>
      <c r="V29" s="327"/>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9"/>
      <c r="BE29" s="14"/>
      <c r="BF29" s="21"/>
    </row>
    <row r="30" spans="1:58" ht="7.5" customHeight="1">
      <c r="A30" s="2"/>
      <c r="B30" s="326"/>
      <c r="C30" s="326"/>
      <c r="D30" s="326"/>
      <c r="E30" s="326"/>
      <c r="F30" s="326"/>
      <c r="G30" s="326"/>
      <c r="H30" s="326"/>
      <c r="I30" s="326"/>
      <c r="J30" s="326"/>
      <c r="K30" s="326"/>
      <c r="L30" s="326"/>
      <c r="M30" s="326"/>
      <c r="N30" s="326"/>
      <c r="O30" s="326"/>
      <c r="P30" s="326"/>
      <c r="Q30" s="326"/>
      <c r="R30" s="326"/>
      <c r="S30" s="326"/>
      <c r="T30" s="326"/>
      <c r="U30" s="326"/>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7"/>
      <c r="BC30" s="327"/>
      <c r="BD30" s="39"/>
      <c r="BE30" s="14"/>
      <c r="BF30" s="21"/>
    </row>
    <row r="31" spans="1:58">
      <c r="A31" s="2" t="s">
        <v>105</v>
      </c>
      <c r="B31" s="331">
        <v>0.13</v>
      </c>
      <c r="C31" s="331">
        <v>0.122</v>
      </c>
      <c r="D31" s="331">
        <v>0.113</v>
      </c>
      <c r="E31" s="331">
        <v>0.10957394338855105</v>
      </c>
      <c r="F31" s="331">
        <v>0.10799538988981766</v>
      </c>
      <c r="G31" s="331">
        <v>0.10087502646552406</v>
      </c>
      <c r="H31" s="331">
        <v>9.8795810860339145E-2</v>
      </c>
      <c r="I31" s="331">
        <v>9.0565929319173108E-2</v>
      </c>
      <c r="J31" s="331">
        <v>8.3224074085056221E-2</v>
      </c>
      <c r="K31" s="331">
        <v>6.7076929872222968E-2</v>
      </c>
      <c r="L31" s="331">
        <v>6.0698246744881515E-2</v>
      </c>
      <c r="M31" s="331">
        <v>5.5930154048131162E-2</v>
      </c>
      <c r="N31" s="331">
        <v>5.4708533137826025E-2</v>
      </c>
      <c r="O31" s="331">
        <v>5.4039414723064005E-2</v>
      </c>
      <c r="P31" s="331">
        <v>5.9553097684597031E-2</v>
      </c>
      <c r="Q31" s="331">
        <v>5.6875747082415842E-2</v>
      </c>
      <c r="R31" s="331">
        <v>5.6842413463624571E-2</v>
      </c>
      <c r="S31" s="331">
        <v>5.4158527027394383E-2</v>
      </c>
      <c r="T31" s="331">
        <v>5.3321940167581218E-2</v>
      </c>
      <c r="U31" s="331">
        <v>5.1527368865673773E-2</v>
      </c>
      <c r="V31" s="332">
        <v>5.042463323109949E-2</v>
      </c>
      <c r="W31" s="332">
        <v>4.9072250697451671E-2</v>
      </c>
      <c r="X31" s="332">
        <v>5.1918164567023153E-2</v>
      </c>
      <c r="Y31" s="332">
        <v>5.4595996070812586E-2</v>
      </c>
      <c r="Z31" s="332">
        <v>5.524549044272066E-2</v>
      </c>
      <c r="AA31" s="328"/>
      <c r="AB31" s="328"/>
      <c r="AC31" s="328"/>
      <c r="AD31" s="328"/>
      <c r="AE31" s="328"/>
      <c r="AF31" s="328"/>
      <c r="AG31" s="328"/>
      <c r="AH31" s="328"/>
      <c r="AI31" s="328"/>
      <c r="AJ31" s="328"/>
      <c r="AK31" s="328"/>
      <c r="AL31" s="328"/>
      <c r="AM31" s="328"/>
      <c r="AN31" s="328"/>
      <c r="AO31" s="328"/>
      <c r="AP31" s="328"/>
      <c r="AQ31" s="328"/>
      <c r="AR31" s="328"/>
      <c r="AS31" s="328"/>
      <c r="AT31" s="328"/>
      <c r="AU31" s="328"/>
      <c r="AV31" s="328"/>
      <c r="AW31" s="328"/>
      <c r="AX31" s="328"/>
      <c r="AY31" s="328"/>
      <c r="AZ31" s="328"/>
      <c r="BA31" s="328"/>
      <c r="BB31" s="328"/>
      <c r="BC31" s="328"/>
      <c r="BD31" s="39"/>
      <c r="BE31" s="14"/>
      <c r="BF31" s="21"/>
    </row>
    <row r="32" spans="1:58">
      <c r="A32" s="2" t="s">
        <v>106</v>
      </c>
      <c r="B32" s="331">
        <v>2.7E-2</v>
      </c>
      <c r="C32" s="331">
        <v>3.1E-2</v>
      </c>
      <c r="D32" s="331">
        <v>3.5000000000000003E-2</v>
      </c>
      <c r="E32" s="331">
        <v>4.0559439168096047E-2</v>
      </c>
      <c r="F32" s="331">
        <v>4.31039329215945E-2</v>
      </c>
      <c r="G32" s="331">
        <v>5.1528987912603276E-2</v>
      </c>
      <c r="H32" s="331">
        <v>5.6582864569160223E-2</v>
      </c>
      <c r="I32" s="331">
        <v>6.5330682850810742E-2</v>
      </c>
      <c r="J32" s="331">
        <v>8.1553366441479688E-2</v>
      </c>
      <c r="K32" s="331">
        <v>9.388279636125553E-2</v>
      </c>
      <c r="L32" s="331">
        <v>0.10604115750985191</v>
      </c>
      <c r="M32" s="331">
        <v>0.11450009168292406</v>
      </c>
      <c r="N32" s="331">
        <v>0.1237072801311131</v>
      </c>
      <c r="O32" s="331">
        <v>0.14473505942063788</v>
      </c>
      <c r="P32" s="331">
        <v>0.16245190811976712</v>
      </c>
      <c r="Q32" s="331">
        <v>0.17619163038211499</v>
      </c>
      <c r="R32" s="331">
        <v>0.1918359399900994</v>
      </c>
      <c r="S32" s="331">
        <v>0.21534203194275917</v>
      </c>
      <c r="T32" s="331">
        <v>0.23096546282755356</v>
      </c>
      <c r="U32" s="331">
        <v>0.23303707969401125</v>
      </c>
      <c r="V32" s="332">
        <v>0.23694923003983576</v>
      </c>
      <c r="W32" s="332">
        <v>0.2465103009216128</v>
      </c>
      <c r="X32" s="332">
        <v>0.22759681993241568</v>
      </c>
      <c r="Y32" s="332">
        <v>0.21526614144182124</v>
      </c>
      <c r="Z32" s="332">
        <v>0.2194012429483401</v>
      </c>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9"/>
      <c r="BE32" s="14"/>
      <c r="BF32" s="21"/>
    </row>
    <row r="33" spans="1:58">
      <c r="A33" s="2" t="s">
        <v>107</v>
      </c>
      <c r="B33" s="331">
        <v>8.0000000000000036E-3</v>
      </c>
      <c r="C33" s="331">
        <v>8.0000000000000002E-3</v>
      </c>
      <c r="D33" s="331">
        <v>0.01</v>
      </c>
      <c r="E33" s="331">
        <v>1.0542746728721054E-2</v>
      </c>
      <c r="F33" s="331">
        <v>1.2347634226444205E-2</v>
      </c>
      <c r="G33" s="331">
        <v>1.5447890538206705E-2</v>
      </c>
      <c r="H33" s="331">
        <v>1.7036674143416364E-2</v>
      </c>
      <c r="I33" s="331">
        <v>1.7912981263207329E-2</v>
      </c>
      <c r="J33" s="331">
        <v>3.897900896941192E-3</v>
      </c>
      <c r="K33" s="331">
        <v>3.2032268163056116E-3</v>
      </c>
      <c r="L33" s="331">
        <v>3.315794620118169E-3</v>
      </c>
      <c r="M33" s="331">
        <v>3.3508333410469109E-3</v>
      </c>
      <c r="N33" s="331">
        <v>3.3708583147957034E-3</v>
      </c>
      <c r="O33" s="331">
        <v>3.6322151761881572E-3</v>
      </c>
      <c r="P33" s="331">
        <v>3.6384898601269301E-3</v>
      </c>
      <c r="Q33" s="331">
        <v>3.7179304174509951E-3</v>
      </c>
      <c r="R33" s="331">
        <v>4.4086871939683575E-3</v>
      </c>
      <c r="S33" s="331">
        <v>4.3811275116905305E-3</v>
      </c>
      <c r="T33" s="331">
        <v>4.5215240998520371E-3</v>
      </c>
      <c r="U33" s="331">
        <v>4.4727859311419873E-3</v>
      </c>
      <c r="V33" s="332">
        <v>3.9283334235213282E-3</v>
      </c>
      <c r="W33" s="332">
        <v>4.0127207305273357E-3</v>
      </c>
      <c r="X33" s="332">
        <v>4.3089439207464652E-3</v>
      </c>
      <c r="Y33" s="332">
        <v>4.7145163287099093E-3</v>
      </c>
      <c r="Z33" s="332">
        <v>4.1553441453979576E-3</v>
      </c>
      <c r="AA33" s="328"/>
      <c r="AB33" s="328"/>
      <c r="AC33" s="328"/>
      <c r="AD33" s="328"/>
      <c r="AE33" s="328"/>
      <c r="AF33" s="328"/>
      <c r="AG33" s="328"/>
      <c r="AH33" s="328"/>
      <c r="AI33" s="328"/>
      <c r="AJ33" s="328"/>
      <c r="AK33" s="328"/>
      <c r="AL33" s="328"/>
      <c r="AM33" s="328"/>
      <c r="AN33" s="328"/>
      <c r="AO33" s="328"/>
      <c r="AP33" s="328"/>
      <c r="AQ33" s="328"/>
      <c r="AR33" s="328"/>
      <c r="AS33" s="328"/>
      <c r="AT33" s="328"/>
      <c r="AU33" s="328"/>
      <c r="AV33" s="328"/>
      <c r="AW33" s="328"/>
      <c r="AX33" s="328"/>
      <c r="AY33" s="328"/>
      <c r="AZ33" s="328"/>
      <c r="BA33" s="328"/>
      <c r="BB33" s="328"/>
      <c r="BC33" s="328"/>
      <c r="BD33" s="39"/>
      <c r="BE33" s="14"/>
      <c r="BF33" s="21"/>
    </row>
    <row r="34" spans="1:58" ht="0.75" customHeight="1">
      <c r="A34" s="2"/>
      <c r="B34" s="326"/>
      <c r="C34" s="326"/>
      <c r="D34" s="326"/>
      <c r="E34" s="326"/>
      <c r="F34" s="326"/>
      <c r="G34" s="326"/>
      <c r="H34" s="326"/>
      <c r="I34" s="326"/>
      <c r="J34" s="326"/>
      <c r="K34" s="326"/>
      <c r="L34" s="326"/>
      <c r="M34" s="326"/>
      <c r="N34" s="326"/>
      <c r="O34" s="326"/>
      <c r="P34" s="326"/>
      <c r="Q34" s="326"/>
      <c r="R34" s="326"/>
      <c r="S34" s="326"/>
      <c r="T34" s="326"/>
      <c r="U34" s="326"/>
      <c r="V34" s="327"/>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9"/>
      <c r="BE34" s="14"/>
      <c r="BF34" s="21"/>
    </row>
    <row r="35" spans="1:58" ht="21.75" customHeight="1">
      <c r="A35" s="2"/>
      <c r="B35" s="326"/>
      <c r="C35" s="326"/>
      <c r="D35" s="326"/>
      <c r="E35" s="344" t="s">
        <v>188</v>
      </c>
      <c r="F35" s="326"/>
      <c r="G35" s="326"/>
      <c r="H35" s="326"/>
      <c r="I35" s="326"/>
      <c r="J35" s="326"/>
      <c r="K35" s="326"/>
      <c r="L35" s="326"/>
      <c r="M35" s="326"/>
      <c r="N35" s="326"/>
      <c r="O35" s="326"/>
      <c r="P35" s="326"/>
      <c r="Q35" s="326"/>
      <c r="R35" s="326"/>
      <c r="S35" s="326"/>
      <c r="T35" s="326"/>
      <c r="U35" s="326"/>
      <c r="V35" s="327"/>
      <c r="W35" s="330"/>
      <c r="X35" s="330"/>
      <c r="Y35" s="330"/>
      <c r="Z35" s="330"/>
      <c r="AA35" s="330"/>
      <c r="AB35" s="330"/>
      <c r="AC35" s="330"/>
      <c r="AD35" s="330"/>
      <c r="AE35" s="330"/>
      <c r="AF35" s="330"/>
      <c r="AG35" s="330"/>
      <c r="AH35" s="330"/>
      <c r="AI35" s="330"/>
      <c r="AJ35" s="330"/>
      <c r="AK35" s="330"/>
      <c r="AL35" s="330"/>
      <c r="AM35" s="330"/>
      <c r="AN35" s="330"/>
      <c r="AO35" s="330">
        <f t="shared" ref="AO35" si="18">AO37-AN37</f>
        <v>13664.369000000035</v>
      </c>
      <c r="AP35" s="330">
        <f t="shared" ref="AP35" si="19">AP37-AO37</f>
        <v>5133.8809999999939</v>
      </c>
      <c r="AQ35" s="330">
        <f t="shared" ref="AQ35" si="20">AQ37-AP37</f>
        <v>8111.7390000000014</v>
      </c>
      <c r="AR35" s="330">
        <f t="shared" ref="AR35" si="21">AR37-AQ37</f>
        <v>3002.435999999987</v>
      </c>
      <c r="AS35" s="330">
        <f t="shared" ref="AS35" si="22">AS37-AR37</f>
        <v>5245</v>
      </c>
      <c r="AT35" s="330">
        <f t="shared" ref="AT35:AZ35" si="23">AT37-AS37</f>
        <v>4477.3310000000056</v>
      </c>
      <c r="AU35" s="330">
        <f t="shared" si="23"/>
        <v>5036.9809999999707</v>
      </c>
      <c r="AV35" s="330">
        <f t="shared" si="23"/>
        <v>6420.3810000000522</v>
      </c>
      <c r="AW35" s="330">
        <f t="shared" si="23"/>
        <v>7403.7239999999874</v>
      </c>
      <c r="AX35" s="330">
        <f t="shared" si="23"/>
        <v>5623.4110000000219</v>
      </c>
      <c r="AY35" s="330">
        <f t="shared" si="23"/>
        <v>7718.9110000000219</v>
      </c>
      <c r="AZ35" s="330">
        <f t="shared" si="23"/>
        <v>7442.8579999999492</v>
      </c>
      <c r="BA35" s="330">
        <f>BA37-AZ37</f>
        <v>7838.9109999999928</v>
      </c>
      <c r="BB35" s="330">
        <f>BB37-BA37</f>
        <v>6680.4320000000007</v>
      </c>
      <c r="BC35" s="330">
        <f>BC37-BB37</f>
        <v>4206.8300000000163</v>
      </c>
      <c r="BD35" s="39"/>
      <c r="BE35" s="14"/>
      <c r="BF35" s="21"/>
    </row>
    <row r="36" spans="1:58">
      <c r="A36" s="13" t="s">
        <v>108</v>
      </c>
      <c r="B36" s="345"/>
      <c r="C36" s="345"/>
      <c r="D36" s="345"/>
      <c r="E36" s="346">
        <v>35780</v>
      </c>
      <c r="F36" s="346">
        <v>38660</v>
      </c>
      <c r="G36" s="346">
        <v>40600</v>
      </c>
      <c r="H36" s="346">
        <v>41480.368000000002</v>
      </c>
      <c r="I36" s="346">
        <v>43490</v>
      </c>
      <c r="J36" s="323">
        <v>25875.414000000001</v>
      </c>
      <c r="K36" s="323">
        <v>28039.040000000001</v>
      </c>
      <c r="L36" s="323">
        <v>31897.836000000003</v>
      </c>
      <c r="M36" s="323">
        <v>35604.79</v>
      </c>
      <c r="N36" s="323">
        <v>39319.591</v>
      </c>
      <c r="O36" s="323">
        <v>40107.873</v>
      </c>
      <c r="P36" s="323">
        <v>42248.682000000001</v>
      </c>
      <c r="Q36" s="323">
        <v>46386.288</v>
      </c>
      <c r="R36" s="323">
        <v>49469.811999999998</v>
      </c>
      <c r="S36" s="323">
        <v>51012.880000000005</v>
      </c>
      <c r="T36" s="323">
        <v>54859.985999999997</v>
      </c>
      <c r="U36" s="323">
        <v>58215.514000000003</v>
      </c>
      <c r="V36" s="347">
        <v>58902.69</v>
      </c>
      <c r="W36" s="347">
        <v>62659.046999999999</v>
      </c>
      <c r="X36" s="347">
        <v>54915.071000000004</v>
      </c>
      <c r="Y36" s="347">
        <v>57362.376999999993</v>
      </c>
      <c r="Z36" s="347">
        <v>62560.231</v>
      </c>
      <c r="AA36" s="347">
        <v>65769</v>
      </c>
      <c r="AB36" s="347">
        <v>70835.909</v>
      </c>
      <c r="AC36" s="347">
        <v>86077.495999999999</v>
      </c>
      <c r="AD36" s="347">
        <v>94783.051999999996</v>
      </c>
      <c r="AE36" s="347">
        <v>97666.437000000005</v>
      </c>
      <c r="AF36" s="347">
        <v>107511</v>
      </c>
      <c r="AG36" s="347">
        <v>115147</v>
      </c>
      <c r="AH36" s="347">
        <v>120047.303</v>
      </c>
      <c r="AI36" s="347">
        <v>124242</v>
      </c>
      <c r="AJ36" s="347">
        <v>138443.111</v>
      </c>
      <c r="AK36" s="347">
        <v>148578.364</v>
      </c>
      <c r="AL36" s="347">
        <v>149089.25499999998</v>
      </c>
      <c r="AM36" s="347">
        <v>162185.386</v>
      </c>
      <c r="AN36" s="347">
        <v>174741.99900000004</v>
      </c>
      <c r="AO36" s="347">
        <v>188635.40700000004</v>
      </c>
      <c r="AP36" s="347">
        <v>192934.93200000003</v>
      </c>
      <c r="AQ36" s="347">
        <v>200027.10499999998</v>
      </c>
      <c r="AR36" s="347">
        <v>202950.639</v>
      </c>
      <c r="AS36" s="347">
        <v>208448.42800000001</v>
      </c>
      <c r="AT36" s="347">
        <v>213257.73699999999</v>
      </c>
      <c r="AU36" s="347">
        <v>219099.71799999996</v>
      </c>
      <c r="AV36" s="347">
        <v>225292.22099999996</v>
      </c>
      <c r="AW36" s="347">
        <v>232678.122</v>
      </c>
      <c r="AX36" s="347">
        <v>238226.00399999999</v>
      </c>
      <c r="AY36" s="347">
        <v>245887.26199999999</v>
      </c>
      <c r="AZ36" s="347">
        <v>253158.91600000003</v>
      </c>
      <c r="BA36" s="347">
        <v>260846.76499999993</v>
      </c>
      <c r="BB36" s="347">
        <v>267129.03799999994</v>
      </c>
      <c r="BC36" s="347">
        <v>271162.95699999999</v>
      </c>
      <c r="BD36" s="202"/>
      <c r="BE36" s="14"/>
      <c r="BF36" s="451"/>
    </row>
    <row r="37" spans="1:58">
      <c r="A37" s="2" t="s">
        <v>862</v>
      </c>
      <c r="B37" s="329"/>
      <c r="C37" s="329"/>
      <c r="D37" s="329"/>
      <c r="E37" s="338">
        <v>2711.2789999999995</v>
      </c>
      <c r="F37" s="338">
        <v>3712.6839999999993</v>
      </c>
      <c r="G37" s="338">
        <v>4013.82</v>
      </c>
      <c r="H37" s="338">
        <v>5187.0659999999998</v>
      </c>
      <c r="I37" s="338">
        <v>6390.915</v>
      </c>
      <c r="J37" s="338">
        <v>6238.2429999999995</v>
      </c>
      <c r="K37" s="338">
        <v>7437.8789999999999</v>
      </c>
      <c r="L37" s="338">
        <v>8806.1969999999983</v>
      </c>
      <c r="M37" s="338">
        <v>10255.273999999999</v>
      </c>
      <c r="N37" s="338">
        <v>12535.319</v>
      </c>
      <c r="O37" s="338">
        <v>15444.584999999999</v>
      </c>
      <c r="P37" s="338">
        <v>16940.373</v>
      </c>
      <c r="Q37" s="338">
        <v>19441.218000000001</v>
      </c>
      <c r="R37" s="338">
        <v>21360.156999999999</v>
      </c>
      <c r="S37" s="338">
        <v>23895.269</v>
      </c>
      <c r="T37" s="338">
        <v>30881.472000000002</v>
      </c>
      <c r="U37" s="338">
        <v>35460.377999999997</v>
      </c>
      <c r="V37" s="337">
        <v>36572.358</v>
      </c>
      <c r="W37" s="337">
        <v>41335.493000000002</v>
      </c>
      <c r="X37" s="337">
        <v>37689.667000000001</v>
      </c>
      <c r="Y37" s="337">
        <v>42715.53899999999</v>
      </c>
      <c r="Z37" s="337">
        <v>48910.793999999994</v>
      </c>
      <c r="AA37" s="337">
        <v>28306</v>
      </c>
      <c r="AB37" s="337">
        <v>36367</v>
      </c>
      <c r="AC37" s="337">
        <v>47862</v>
      </c>
      <c r="AD37" s="337">
        <v>58281</v>
      </c>
      <c r="AE37" s="337">
        <v>65731</v>
      </c>
      <c r="AF37" s="337">
        <v>77068</v>
      </c>
      <c r="AG37" s="337">
        <v>86808</v>
      </c>
      <c r="AH37" s="337">
        <v>95172.593000000008</v>
      </c>
      <c r="AI37" s="337">
        <v>103111</v>
      </c>
      <c r="AJ37" s="337">
        <v>123793.11199999999</v>
      </c>
      <c r="AK37" s="337">
        <v>136309.40399999998</v>
      </c>
      <c r="AL37" s="337">
        <v>138293.84999999998</v>
      </c>
      <c r="AM37" s="337">
        <v>152684.641</v>
      </c>
      <c r="AN37" s="337">
        <v>165628.57499999998</v>
      </c>
      <c r="AO37" s="337">
        <v>179292.94400000002</v>
      </c>
      <c r="AP37" s="337">
        <v>184426.82500000001</v>
      </c>
      <c r="AQ37" s="337">
        <v>192538.56400000001</v>
      </c>
      <c r="AR37" s="337">
        <v>195541</v>
      </c>
      <c r="AS37" s="337">
        <v>200786</v>
      </c>
      <c r="AT37" s="337">
        <v>205263.33100000001</v>
      </c>
      <c r="AU37" s="337">
        <v>210300.31199999998</v>
      </c>
      <c r="AV37" s="337">
        <v>216720.69300000003</v>
      </c>
      <c r="AW37" s="337">
        <v>224124.41700000002</v>
      </c>
      <c r="AX37" s="337">
        <v>229747.82800000004</v>
      </c>
      <c r="AY37" s="337">
        <v>237466.73900000006</v>
      </c>
      <c r="AZ37" s="337">
        <v>244909.59700000001</v>
      </c>
      <c r="BA37" s="337">
        <v>252748.508</v>
      </c>
      <c r="BB37" s="337">
        <v>259428.94</v>
      </c>
      <c r="BC37" s="337">
        <v>263635.77</v>
      </c>
      <c r="BD37" s="199"/>
      <c r="BE37" s="14"/>
      <c r="BF37" s="21"/>
    </row>
    <row r="38" spans="1:58">
      <c r="A38" s="2" t="s">
        <v>370</v>
      </c>
      <c r="B38" s="322"/>
      <c r="C38" s="322"/>
      <c r="D38" s="322"/>
      <c r="E38" s="331">
        <v>0.19737499459562122</v>
      </c>
      <c r="F38" s="331">
        <v>0.20640437649888096</v>
      </c>
      <c r="G38" s="331">
        <v>0.21837057054458861</v>
      </c>
      <c r="H38" s="331">
        <v>0.22801170015058589</v>
      </c>
      <c r="I38" s="331">
        <v>0.23105892840521952</v>
      </c>
      <c r="J38" s="331">
        <v>0.13550994380410061</v>
      </c>
      <c r="K38" s="331">
        <v>0.14493688108372582</v>
      </c>
      <c r="L38" s="331">
        <v>0.16068349947732258</v>
      </c>
      <c r="M38" s="331">
        <v>0.17324314684532394</v>
      </c>
      <c r="N38" s="331">
        <v>0.18776274253622324</v>
      </c>
      <c r="O38" s="331">
        <v>0.18940926643331649</v>
      </c>
      <c r="P38" s="331">
        <v>0.19450164045269019</v>
      </c>
      <c r="Q38" s="331">
        <v>0.20523324899750092</v>
      </c>
      <c r="R38" s="331">
        <v>0.21446915240783876</v>
      </c>
      <c r="S38" s="331">
        <v>0.21688054007407673</v>
      </c>
      <c r="T38" s="331">
        <v>0.22549270579823527</v>
      </c>
      <c r="U38" s="331">
        <v>0.23171528500531388</v>
      </c>
      <c r="V38" s="332">
        <v>0.23032737253242766</v>
      </c>
      <c r="W38" s="332">
        <v>0.24105134438641471</v>
      </c>
      <c r="X38" s="332">
        <v>0.20656209481189775</v>
      </c>
      <c r="Y38" s="332">
        <v>0.20962074166540934</v>
      </c>
      <c r="Z38" s="332">
        <v>0.22291405337040868</v>
      </c>
      <c r="AA38" s="332">
        <v>0.23300000000000001</v>
      </c>
      <c r="AB38" s="332">
        <v>0.24416654789975878</v>
      </c>
      <c r="AC38" s="332">
        <v>0.28297111987296591</v>
      </c>
      <c r="AD38" s="332">
        <v>0.27508102621050323</v>
      </c>
      <c r="AE38" s="332">
        <v>0.29399999999999998</v>
      </c>
      <c r="AF38" s="332">
        <v>0.378</v>
      </c>
      <c r="AG38" s="332">
        <v>0.40699999999999997</v>
      </c>
      <c r="AH38" s="332">
        <v>0.43366963660998714</v>
      </c>
      <c r="AI38" s="332">
        <v>0.44500000000000001</v>
      </c>
      <c r="AJ38" s="332">
        <v>0.48913561260295524</v>
      </c>
      <c r="AK38" s="332">
        <v>0.52377706121974266</v>
      </c>
      <c r="AL38" s="332">
        <v>0.53271094704098876</v>
      </c>
      <c r="AM38" s="332">
        <v>0.55213508633522279</v>
      </c>
      <c r="AN38" s="332">
        <v>0.56744071700565313</v>
      </c>
      <c r="AO38" s="332">
        <v>0.58696625929125279</v>
      </c>
      <c r="AP38" s="332">
        <v>0.60059786864088993</v>
      </c>
      <c r="AQ38" s="332">
        <v>0.6183667895124908</v>
      </c>
      <c r="AR38" s="332">
        <v>0.62849049850312744</v>
      </c>
      <c r="AS38" s="332">
        <v>0.63932752922408265</v>
      </c>
      <c r="AT38" s="332">
        <v>0.65155115794084184</v>
      </c>
      <c r="AU38" s="332">
        <v>0.66839866239558043</v>
      </c>
      <c r="AV38" s="332">
        <v>0.67809344540611483</v>
      </c>
      <c r="AW38" s="332">
        <v>0.69370781717528152</v>
      </c>
      <c r="AX38" s="332">
        <v>0.70363990376544638</v>
      </c>
      <c r="AY38" s="332">
        <v>0.71832722854046327</v>
      </c>
      <c r="AZ38" s="332">
        <v>0.73258316719584327</v>
      </c>
      <c r="BA38" s="332">
        <v>0.74051009988814498</v>
      </c>
      <c r="BB38" s="332">
        <v>0.75350530304573149</v>
      </c>
      <c r="BC38" s="332">
        <v>0.77113743840992199</v>
      </c>
      <c r="BD38" s="39"/>
      <c r="BE38" s="99"/>
      <c r="BF38" s="21"/>
    </row>
    <row r="39" spans="1:58">
      <c r="A39" s="2" t="s">
        <v>807</v>
      </c>
      <c r="B39" s="329"/>
      <c r="C39" s="329"/>
      <c r="D39" s="329"/>
      <c r="E39" s="338">
        <v>10005.5</v>
      </c>
      <c r="F39" s="338">
        <v>12566</v>
      </c>
      <c r="G39" s="338">
        <v>15879.137079009717</v>
      </c>
      <c r="H39" s="338">
        <v>19776.59541791282</v>
      </c>
      <c r="I39" s="338">
        <v>23936.710077970369</v>
      </c>
      <c r="J39" s="338">
        <v>28403.066140282681</v>
      </c>
      <c r="K39" s="338">
        <v>34624.299374238726</v>
      </c>
      <c r="L39" s="338">
        <v>39931.730035764369</v>
      </c>
      <c r="M39" s="338">
        <v>47655.288617151149</v>
      </c>
      <c r="N39" s="338">
        <v>55609.754360930085</v>
      </c>
      <c r="O39" s="338">
        <v>67668.025726666427</v>
      </c>
      <c r="P39" s="338">
        <v>77281.407624853746</v>
      </c>
      <c r="Q39" s="338">
        <v>86627.133626320807</v>
      </c>
      <c r="R39" s="338">
        <v>102015.31474415444</v>
      </c>
      <c r="S39" s="338">
        <v>114959.5252389268</v>
      </c>
      <c r="T39" s="338">
        <v>133946.31140583876</v>
      </c>
      <c r="U39" s="338">
        <v>146768.33463842634</v>
      </c>
      <c r="V39" s="337">
        <v>158034.66776192954</v>
      </c>
      <c r="W39" s="337">
        <v>178125.42699954845</v>
      </c>
      <c r="X39" s="337">
        <v>171817.38254744984</v>
      </c>
      <c r="Y39" s="337">
        <v>225109.16216484655</v>
      </c>
      <c r="Z39" s="337">
        <v>472384.98549621191</v>
      </c>
      <c r="AA39" s="337">
        <v>783809</v>
      </c>
      <c r="AB39" s="337">
        <v>1105838.9867474365</v>
      </c>
      <c r="AC39" s="337">
        <v>1539745.8068097765</v>
      </c>
      <c r="AD39" s="337">
        <v>2150644.746954652</v>
      </c>
      <c r="AE39" s="337">
        <v>2660297</v>
      </c>
      <c r="AF39" s="337">
        <v>3216897</v>
      </c>
      <c r="AG39" s="337">
        <v>3705034</v>
      </c>
      <c r="AH39" s="337">
        <v>4191714.5285144798</v>
      </c>
      <c r="AI39" s="337">
        <v>4828577</v>
      </c>
      <c r="AJ39" s="337">
        <v>5547222.8882551901</v>
      </c>
      <c r="AK39" s="337">
        <v>6452825.1837578602</v>
      </c>
      <c r="AL39" s="337">
        <v>7239836.0369207403</v>
      </c>
      <c r="AM39" s="337">
        <v>7639997.0647942405</v>
      </c>
      <c r="AN39" s="337">
        <v>8453705.6488166004</v>
      </c>
      <c r="AO39" s="337">
        <v>9207030.3380598594</v>
      </c>
      <c r="AP39" s="337">
        <v>10771051.277578101</v>
      </c>
      <c r="AQ39" s="337">
        <v>11270769.342128672</v>
      </c>
      <c r="AR39" s="337">
        <v>11311779.776500579</v>
      </c>
      <c r="AS39" s="337">
        <v>11849333.770498659</v>
      </c>
      <c r="AT39" s="337">
        <v>12266931.50566539</v>
      </c>
      <c r="AU39" s="337">
        <v>13169219.155505517</v>
      </c>
      <c r="AV39" s="337">
        <v>13528642.577369289</v>
      </c>
      <c r="AW39" s="337">
        <v>13914370.319263814</v>
      </c>
      <c r="AX39" s="337">
        <v>14915279.31744156</v>
      </c>
      <c r="AY39" s="337">
        <v>15748977.4837572</v>
      </c>
      <c r="AZ39" s="337">
        <v>16376505.1282607</v>
      </c>
      <c r="BA39" s="337">
        <v>17390877.452120401</v>
      </c>
      <c r="BB39" s="337">
        <v>18788715.654047199</v>
      </c>
      <c r="BC39" s="337">
        <v>19311.255009836626</v>
      </c>
      <c r="BD39" s="199"/>
      <c r="BE39" s="14"/>
      <c r="BF39" s="21"/>
    </row>
    <row r="40" spans="1:58">
      <c r="A40" s="2" t="s">
        <v>109</v>
      </c>
      <c r="B40" s="329"/>
      <c r="C40" s="329"/>
      <c r="D40" s="329"/>
      <c r="E40" s="348">
        <v>43.742614297704542</v>
      </c>
      <c r="F40" s="348">
        <v>39.583334119798678</v>
      </c>
      <c r="G40" s="348">
        <v>43.191079818575965</v>
      </c>
      <c r="H40" s="348">
        <v>47.210804170962568</v>
      </c>
      <c r="I40" s="348">
        <v>54.791364773091807</v>
      </c>
      <c r="J40" s="338">
        <v>127.96310170883426</v>
      </c>
      <c r="K40" s="338">
        <v>128.80547992413634</v>
      </c>
      <c r="L40" s="338">
        <v>136.58534540364593</v>
      </c>
      <c r="M40" s="338">
        <v>132.9163775063266</v>
      </c>
      <c r="N40" s="338">
        <v>138.70594452908503</v>
      </c>
      <c r="O40" s="338">
        <v>150.27876139907985</v>
      </c>
      <c r="P40" s="338">
        <v>170.13720975215162</v>
      </c>
      <c r="Q40" s="338">
        <v>175.91173086159199</v>
      </c>
      <c r="R40" s="338">
        <v>180.5282814870562</v>
      </c>
      <c r="S40" s="338">
        <v>192.6437938270445</v>
      </c>
      <c r="T40" s="338">
        <v>200.26121443676948</v>
      </c>
      <c r="U40" s="338">
        <v>196.47383332920458</v>
      </c>
      <c r="V40" s="337">
        <v>201.66618991247734</v>
      </c>
      <c r="W40" s="337">
        <v>200.75676784289612</v>
      </c>
      <c r="X40" s="337">
        <v>174.72322794838746</v>
      </c>
      <c r="Y40" s="337">
        <v>162.44258829315254</v>
      </c>
      <c r="Z40" s="337">
        <v>155.93241782404777</v>
      </c>
      <c r="AA40" s="343"/>
      <c r="AB40" s="343"/>
      <c r="AC40" s="343"/>
      <c r="AD40" s="343"/>
      <c r="AE40" s="343"/>
      <c r="AF40" s="343"/>
      <c r="AG40" s="343"/>
      <c r="AH40" s="343"/>
      <c r="AI40" s="343"/>
      <c r="AJ40" s="343"/>
      <c r="AK40" s="343"/>
      <c r="AL40" s="343"/>
      <c r="AM40" s="343"/>
      <c r="AN40" s="343"/>
      <c r="AO40" s="343"/>
      <c r="AP40" s="343"/>
      <c r="AQ40" s="343"/>
      <c r="AR40" s="343"/>
      <c r="AS40" s="343"/>
      <c r="AT40" s="343"/>
      <c r="AU40" s="343"/>
      <c r="AV40" s="343"/>
      <c r="AW40" s="343"/>
      <c r="AX40" s="343"/>
      <c r="AY40" s="343"/>
      <c r="AZ40" s="343"/>
      <c r="BA40" s="343"/>
      <c r="BB40" s="343"/>
      <c r="BC40" s="343"/>
      <c r="BD40" s="201"/>
      <c r="BE40" s="14"/>
      <c r="BF40" s="21"/>
    </row>
    <row r="41" spans="1:58">
      <c r="A41" s="2" t="s">
        <v>863</v>
      </c>
      <c r="B41" s="329"/>
      <c r="C41" s="329"/>
      <c r="D41" s="329"/>
      <c r="E41" s="338">
        <v>106.94707711783724</v>
      </c>
      <c r="F41" s="338">
        <v>112.16983781001095</v>
      </c>
      <c r="G41" s="338">
        <v>133.41760562911836</v>
      </c>
      <c r="H41" s="338">
        <v>161.01732970041991</v>
      </c>
      <c r="I41" s="338">
        <v>187.21472630063832</v>
      </c>
      <c r="J41" s="338">
        <v>391.81080682376432</v>
      </c>
      <c r="K41" s="338">
        <v>429.4450870446214</v>
      </c>
      <c r="L41" s="338">
        <v>449.63658468240175</v>
      </c>
      <c r="M41" s="338">
        <v>464.43159865941942</v>
      </c>
      <c r="N41" s="338">
        <v>494.62858302325253</v>
      </c>
      <c r="O41" s="338">
        <v>563.44850711154402</v>
      </c>
      <c r="P41" s="338">
        <v>621.94242210423693</v>
      </c>
      <c r="Q41" s="338">
        <v>655.85078173686395</v>
      </c>
      <c r="R41" s="338">
        <v>705.89975545943719</v>
      </c>
      <c r="S41" s="338">
        <v>765.4811918405386</v>
      </c>
      <c r="T41" s="338">
        <v>842.50793703227816</v>
      </c>
      <c r="U41" s="338">
        <v>859.05487941202273</v>
      </c>
      <c r="V41" s="337">
        <v>904.12544989928222</v>
      </c>
      <c r="W41" s="337">
        <v>999.9950849456859</v>
      </c>
      <c r="X41" s="337">
        <v>972.41566722268635</v>
      </c>
      <c r="Y41" s="337">
        <v>1331.1426736862429</v>
      </c>
      <c r="Z41" s="337">
        <v>2611.2859734937647</v>
      </c>
      <c r="AA41" s="337">
        <v>4087</v>
      </c>
      <c r="AB41" s="337">
        <v>5349.2343340097814</v>
      </c>
      <c r="AC41" s="337">
        <v>6585.2942770086074</v>
      </c>
      <c r="AD41" s="337">
        <v>7864.3198040056441</v>
      </c>
      <c r="AE41" s="337">
        <v>9220.651593921124</v>
      </c>
      <c r="AF41" s="337">
        <v>10528</v>
      </c>
      <c r="AG41" s="337">
        <v>11048</v>
      </c>
      <c r="AH41" s="337">
        <v>11930.243386949662</v>
      </c>
      <c r="AI41" s="337">
        <v>13116</v>
      </c>
      <c r="AJ41" s="337">
        <v>13927.658878441332</v>
      </c>
      <c r="AK41" s="337">
        <v>14971.575755476535</v>
      </c>
      <c r="AL41" s="337">
        <v>16654.578968593509</v>
      </c>
      <c r="AM41" s="337">
        <v>16409.301789394438</v>
      </c>
      <c r="AN41" s="337">
        <v>16766</v>
      </c>
      <c r="AO41" s="337">
        <v>16839.763214394759</v>
      </c>
      <c r="AP41" s="337">
        <v>18931.596321990804</v>
      </c>
      <c r="AQ41" s="337">
        <v>19065.598659466061</v>
      </c>
      <c r="AR41" s="337">
        <v>18726.723195261704</v>
      </c>
      <c r="AS41" s="337">
        <v>19228.494497609328</v>
      </c>
      <c r="AT41" s="337">
        <v>19462.883601578487</v>
      </c>
      <c r="AU41" s="337">
        <v>20271.52344116192</v>
      </c>
      <c r="AV41" s="337">
        <v>20292.12021608292</v>
      </c>
      <c r="AW41" s="337">
        <v>20275.337273789195</v>
      </c>
      <c r="AX41" s="337">
        <v>21123.969098362639</v>
      </c>
      <c r="AY41" s="337">
        <v>21701.146506950899</v>
      </c>
      <c r="AZ41" s="337">
        <v>21954.0317457153</v>
      </c>
      <c r="BA41" s="337">
        <v>22598.459748273901</v>
      </c>
      <c r="BB41" s="337">
        <v>23743.115355492198</v>
      </c>
      <c r="BC41" s="337">
        <v>23898.735978360099</v>
      </c>
      <c r="BD41" s="39"/>
      <c r="BE41" s="14" t="s">
        <v>779</v>
      </c>
      <c r="BF41" s="21"/>
    </row>
    <row r="42" spans="1:58">
      <c r="A42" s="2" t="s">
        <v>110</v>
      </c>
      <c r="B42" s="349"/>
      <c r="C42" s="349"/>
      <c r="D42" s="349"/>
      <c r="E42" s="334">
        <v>40.901177925141177</v>
      </c>
      <c r="F42" s="334">
        <v>35.299999999999997</v>
      </c>
      <c r="G42" s="334">
        <v>32.372848856725042</v>
      </c>
      <c r="H42" s="334">
        <v>29.320324873602377</v>
      </c>
      <c r="I42" s="334">
        <v>29.266589149138422</v>
      </c>
      <c r="J42" s="334">
        <v>32.65941099128279</v>
      </c>
      <c r="K42" s="334">
        <v>29.993469202443769</v>
      </c>
      <c r="L42" s="334">
        <v>30.376830991215321</v>
      </c>
      <c r="M42" s="334">
        <v>28.619150352816085</v>
      </c>
      <c r="N42" s="334">
        <v>28.042444227806474</v>
      </c>
      <c r="O42" s="334">
        <v>26.671250256650282</v>
      </c>
      <c r="P42" s="334">
        <v>27.355781452649769</v>
      </c>
      <c r="Q42" s="334">
        <v>26.821913727956815</v>
      </c>
      <c r="R42" s="334">
        <v>25.574209381834777</v>
      </c>
      <c r="S42" s="334">
        <v>25.166365402636192</v>
      </c>
      <c r="T42" s="334">
        <v>23.769653155101032</v>
      </c>
      <c r="U42" s="334">
        <v>22.870929208117698</v>
      </c>
      <c r="V42" s="334">
        <v>22.305111523510657</v>
      </c>
      <c r="W42" s="334">
        <v>20.075775457816384</v>
      </c>
      <c r="X42" s="334">
        <v>17.967956897220091</v>
      </c>
      <c r="Y42" s="334">
        <v>12.203243987611884</v>
      </c>
      <c r="Z42" s="334">
        <v>5.9714799300751551</v>
      </c>
      <c r="AA42" s="343"/>
      <c r="AB42" s="343"/>
      <c r="AC42" s="343"/>
      <c r="AD42" s="343"/>
      <c r="AE42" s="343"/>
      <c r="AF42" s="343"/>
      <c r="AG42" s="343"/>
      <c r="AH42" s="343"/>
      <c r="AI42" s="343"/>
      <c r="AJ42" s="343"/>
      <c r="AK42" s="343"/>
      <c r="AL42" s="343"/>
      <c r="AM42" s="343"/>
      <c r="AN42" s="343"/>
      <c r="AO42" s="343"/>
      <c r="AP42" s="343"/>
      <c r="AQ42" s="343"/>
      <c r="AR42" s="343"/>
      <c r="AS42" s="343"/>
      <c r="AT42" s="343"/>
      <c r="AU42" s="343"/>
      <c r="AV42" s="343"/>
      <c r="AW42" s="343"/>
      <c r="AX42" s="343"/>
      <c r="AY42" s="343"/>
      <c r="AZ42" s="343"/>
      <c r="BA42" s="343"/>
      <c r="BB42" s="343"/>
      <c r="BC42" s="343"/>
      <c r="BD42" s="201"/>
      <c r="BE42" s="14"/>
      <c r="BF42" s="21"/>
    </row>
    <row r="43" spans="1:58">
      <c r="A43" s="2"/>
      <c r="B43" s="322"/>
      <c r="C43" s="322"/>
      <c r="D43" s="322"/>
      <c r="E43" s="322"/>
      <c r="F43" s="322"/>
      <c r="G43" s="322"/>
      <c r="H43" s="322"/>
      <c r="I43" s="322"/>
      <c r="J43" s="322"/>
      <c r="K43" s="322"/>
      <c r="L43" s="322"/>
      <c r="M43" s="322"/>
      <c r="N43" s="322"/>
      <c r="O43" s="322"/>
      <c r="P43" s="322"/>
      <c r="Q43" s="322"/>
      <c r="R43" s="322"/>
      <c r="S43" s="322"/>
      <c r="T43" s="322"/>
      <c r="U43" s="322"/>
      <c r="V43" s="322"/>
      <c r="W43" s="322"/>
      <c r="X43" s="322"/>
      <c r="Y43" s="322"/>
      <c r="Z43" s="322"/>
      <c r="AA43" s="322"/>
      <c r="AB43" s="322"/>
      <c r="AC43" s="322"/>
      <c r="AD43" s="322"/>
      <c r="AE43" s="322"/>
      <c r="AF43" s="322"/>
      <c r="AG43" s="322"/>
      <c r="AH43" s="322"/>
      <c r="AI43" s="322"/>
      <c r="AJ43" s="322"/>
      <c r="AK43" s="322"/>
      <c r="AL43" s="322"/>
      <c r="AM43" s="322"/>
      <c r="AN43" s="322"/>
      <c r="AO43" s="322"/>
      <c r="AP43" s="322"/>
      <c r="AQ43" s="322"/>
      <c r="AR43" s="322"/>
      <c r="AS43" s="322"/>
      <c r="AT43" s="322"/>
      <c r="AU43" s="322"/>
      <c r="AV43" s="322"/>
      <c r="AW43" s="322"/>
      <c r="AX43" s="322"/>
      <c r="AY43" s="322"/>
      <c r="AZ43" s="322"/>
      <c r="BA43" s="322"/>
      <c r="BB43" s="322"/>
      <c r="BC43" s="322"/>
      <c r="BD43" s="14"/>
      <c r="BE43" s="14"/>
      <c r="BF43" s="21"/>
    </row>
    <row r="44" spans="1:58">
      <c r="A44" s="2"/>
      <c r="B44" s="321"/>
      <c r="C44" s="321"/>
      <c r="D44" s="321"/>
      <c r="E44" s="321"/>
      <c r="F44" s="321"/>
      <c r="G44" s="321"/>
      <c r="H44" s="321"/>
      <c r="I44" s="321"/>
      <c r="J44" s="321"/>
      <c r="K44" s="321"/>
      <c r="L44" s="321"/>
      <c r="M44" s="321"/>
      <c r="N44" s="321"/>
      <c r="O44" s="321"/>
      <c r="P44" s="321"/>
      <c r="Q44" s="321"/>
      <c r="R44" s="321"/>
      <c r="S44" s="321"/>
      <c r="T44" s="321"/>
      <c r="U44" s="321"/>
      <c r="V44" s="321"/>
      <c r="W44" s="321"/>
      <c r="X44" s="321"/>
      <c r="Y44" s="321"/>
      <c r="Z44" s="321"/>
      <c r="AA44" s="321"/>
      <c r="AB44" s="321"/>
      <c r="AC44" s="321"/>
      <c r="AD44" s="321"/>
      <c r="AE44" s="321"/>
      <c r="AF44" s="322"/>
      <c r="AG44" s="322"/>
      <c r="AH44" s="322"/>
      <c r="AI44" s="322"/>
      <c r="AJ44" s="322"/>
      <c r="AK44" s="322"/>
      <c r="AL44" s="322"/>
      <c r="AM44" s="322"/>
      <c r="AN44" s="322"/>
      <c r="AO44" s="322"/>
      <c r="AP44" s="322"/>
      <c r="AQ44" s="322"/>
      <c r="AR44" s="322"/>
      <c r="AS44" s="322"/>
      <c r="AT44" s="322"/>
      <c r="AU44" s="322"/>
      <c r="AV44" s="322"/>
      <c r="AW44" s="322"/>
      <c r="AX44" s="322"/>
      <c r="AY44" s="322"/>
      <c r="AZ44" s="322"/>
      <c r="BA44" s="322"/>
      <c r="BB44" s="322"/>
      <c r="BC44" s="322"/>
      <c r="BD44" s="2"/>
      <c r="BE44" s="2"/>
    </row>
    <row r="45" spans="1:58" s="27" customFormat="1">
      <c r="A45" s="510" t="s">
        <v>418</v>
      </c>
      <c r="B45" s="530" t="str">
        <f>'Revenue, EBITDA, capex breakout'!B$1</f>
        <v>Q1 12</v>
      </c>
      <c r="C45" s="530" t="str">
        <f>'Revenue, EBITDA, capex breakout'!C$1</f>
        <v>Q2 12</v>
      </c>
      <c r="D45" s="530" t="str">
        <f>'Revenue, EBITDA, capex breakout'!D$1</f>
        <v>Q3 12</v>
      </c>
      <c r="E45" s="530" t="str">
        <f>'Revenue, EBITDA, capex breakout'!E$1</f>
        <v>4Q12</v>
      </c>
      <c r="F45" s="530" t="str">
        <f>'Revenue, EBITDA, capex breakout'!F$1</f>
        <v>1Q13</v>
      </c>
      <c r="G45" s="530" t="str">
        <f>'Revenue, EBITDA, capex breakout'!G$1</f>
        <v>2Q13</v>
      </c>
      <c r="H45" s="530" t="str">
        <f>'Revenue, EBITDA, capex breakout'!H$1</f>
        <v>3Q13</v>
      </c>
      <c r="I45" s="530" t="str">
        <f>'Revenue, EBITDA, capex breakout'!I$1</f>
        <v>4Q13</v>
      </c>
      <c r="J45" s="530" t="str">
        <f>'Revenue, EBITDA, capex breakout'!J$1</f>
        <v>1Q14</v>
      </c>
      <c r="K45" s="530" t="str">
        <f>'Revenue, EBITDA, capex breakout'!K$1</f>
        <v>2Q14</v>
      </c>
      <c r="L45" s="530" t="str">
        <f>'Revenue, EBITDA, capex breakout'!L$1</f>
        <v>3Q14</v>
      </c>
      <c r="M45" s="530" t="str">
        <f>'Revenue, EBITDA, capex breakout'!M$1</f>
        <v>4Q14</v>
      </c>
      <c r="N45" s="530" t="str">
        <f>'Revenue, EBITDA, capex breakout'!N$1</f>
        <v>1Q15</v>
      </c>
      <c r="O45" s="530" t="str">
        <f>'Revenue, EBITDA, capex breakout'!O$1</f>
        <v>2Q15</v>
      </c>
      <c r="P45" s="530" t="str">
        <f>'Revenue, EBITDA, capex breakout'!P$1</f>
        <v>3Q15</v>
      </c>
      <c r="Q45" s="530" t="str">
        <f>'Revenue, EBITDA, capex breakout'!Q$1</f>
        <v>4Q15</v>
      </c>
      <c r="R45" s="530" t="str">
        <f>'Revenue, EBITDA, capex breakout'!R$1</f>
        <v>1Q16</v>
      </c>
      <c r="S45" s="530" t="str">
        <f>'Revenue, EBITDA, capex breakout'!S$1</f>
        <v>2Q16</v>
      </c>
      <c r="T45" s="530" t="str">
        <f>'Revenue, EBITDA, capex breakout'!T$1</f>
        <v>3Q16</v>
      </c>
      <c r="U45" s="530" t="str">
        <f>'Revenue, EBITDA, capex breakout'!U$1</f>
        <v>4Q16</v>
      </c>
      <c r="V45" s="530" t="str">
        <f>'Revenue, EBITDA, capex breakout'!V$1</f>
        <v>1Q17</v>
      </c>
      <c r="W45" s="530" t="str">
        <f>'Revenue, EBITDA, capex breakout'!W$1</f>
        <v>2Q17</v>
      </c>
      <c r="X45" s="530" t="str">
        <f>'Revenue, EBITDA, capex breakout'!X$1</f>
        <v>3Q17</v>
      </c>
      <c r="Y45" s="530" t="str">
        <f>'Revenue, EBITDA, capex breakout'!Y$1</f>
        <v>4Q17</v>
      </c>
      <c r="Z45" s="530" t="str">
        <f t="shared" ref="Z45:AP45" si="24">Z1</f>
        <v>1Q18</v>
      </c>
      <c r="AA45" s="530" t="str">
        <f t="shared" si="24"/>
        <v>2Q18</v>
      </c>
      <c r="AB45" s="530" t="str">
        <f t="shared" si="24"/>
        <v>3Q18</v>
      </c>
      <c r="AC45" s="530" t="str">
        <f t="shared" si="24"/>
        <v>4Q18</v>
      </c>
      <c r="AD45" s="530" t="str">
        <f t="shared" si="24"/>
        <v>1Q19</v>
      </c>
      <c r="AE45" s="530" t="str">
        <f t="shared" si="24"/>
        <v>2Q19</v>
      </c>
      <c r="AF45" s="530" t="str">
        <f t="shared" si="24"/>
        <v>3Q19</v>
      </c>
      <c r="AG45" s="530" t="str">
        <f t="shared" si="24"/>
        <v>4Q19</v>
      </c>
      <c r="AH45" s="530" t="str">
        <f t="shared" si="24"/>
        <v>1Q20</v>
      </c>
      <c r="AI45" s="530" t="str">
        <f t="shared" si="24"/>
        <v>2Q20</v>
      </c>
      <c r="AJ45" s="530" t="str">
        <f t="shared" si="24"/>
        <v>3Q20</v>
      </c>
      <c r="AK45" s="530" t="str">
        <f t="shared" si="24"/>
        <v>4Q20</v>
      </c>
      <c r="AL45" s="530" t="str">
        <f t="shared" si="24"/>
        <v>1Q21</v>
      </c>
      <c r="AM45" s="530" t="str">
        <f t="shared" si="24"/>
        <v>2Q21</v>
      </c>
      <c r="AN45" s="530" t="str">
        <f t="shared" si="24"/>
        <v>3Q21</v>
      </c>
      <c r="AO45" s="530" t="str">
        <f t="shared" si="24"/>
        <v>4Q21</v>
      </c>
      <c r="AP45" s="530" t="str">
        <f t="shared" si="24"/>
        <v>1Q22</v>
      </c>
      <c r="AQ45" s="530" t="str">
        <f t="shared" ref="AQ45:AR45" si="25">AQ1</f>
        <v>2Q22</v>
      </c>
      <c r="AR45" s="530" t="str">
        <f t="shared" si="25"/>
        <v>3Q22</v>
      </c>
      <c r="AS45" s="530" t="str">
        <f t="shared" ref="AS45:AT45" si="26">AS1</f>
        <v>4Q22</v>
      </c>
      <c r="AT45" s="530" t="str">
        <f t="shared" si="26"/>
        <v>1Q23</v>
      </c>
      <c r="AU45" s="530" t="str">
        <f t="shared" ref="AU45:AV45" si="27">AU1</f>
        <v>2Q23</v>
      </c>
      <c r="AV45" s="530" t="str">
        <f t="shared" si="27"/>
        <v>3Q23</v>
      </c>
      <c r="AW45" s="530" t="str">
        <f t="shared" ref="AW45:AY45" si="28">AW1</f>
        <v>4Q23</v>
      </c>
      <c r="AX45" s="530" t="str">
        <f t="shared" si="28"/>
        <v>1Q24</v>
      </c>
      <c r="AY45" s="530" t="str">
        <f t="shared" si="28"/>
        <v>2Q24</v>
      </c>
      <c r="AZ45" s="530" t="str">
        <f t="shared" ref="AZ45:BA45" si="29">AZ1</f>
        <v>3Q24</v>
      </c>
      <c r="BA45" s="530" t="str">
        <f t="shared" si="29"/>
        <v>4Q24</v>
      </c>
      <c r="BB45" s="530" t="str">
        <f t="shared" ref="BB45:BC45" si="30">BB1</f>
        <v>1Q25</v>
      </c>
      <c r="BC45" s="530" t="str">
        <f t="shared" si="30"/>
        <v>2Q25</v>
      </c>
      <c r="BD45" s="527"/>
      <c r="BE45" s="510" t="s">
        <v>209</v>
      </c>
    </row>
    <row r="46" spans="1:58" s="27" customFormat="1">
      <c r="A46" s="510" t="s">
        <v>36</v>
      </c>
      <c r="B46" s="530"/>
      <c r="C46" s="530"/>
      <c r="D46" s="530"/>
      <c r="E46" s="530"/>
      <c r="F46" s="530"/>
      <c r="G46" s="530"/>
      <c r="H46" s="530"/>
      <c r="I46" s="530"/>
      <c r="J46" s="530"/>
      <c r="K46" s="530"/>
      <c r="L46" s="530"/>
      <c r="M46" s="530"/>
      <c r="N46" s="530"/>
      <c r="O46" s="530"/>
      <c r="P46" s="530"/>
      <c r="Q46" s="530"/>
      <c r="R46" s="530"/>
      <c r="S46" s="530"/>
      <c r="T46" s="530"/>
      <c r="U46" s="530"/>
      <c r="V46" s="530"/>
      <c r="W46" s="530"/>
      <c r="X46" s="530"/>
      <c r="Y46" s="530"/>
      <c r="Z46" s="530"/>
      <c r="AA46" s="530"/>
      <c r="AB46" s="530"/>
      <c r="AC46" s="530"/>
      <c r="AD46" s="530"/>
      <c r="AE46" s="531"/>
      <c r="AF46" s="531"/>
      <c r="AG46" s="531"/>
      <c r="AH46" s="531"/>
      <c r="AI46" s="531"/>
      <c r="AJ46" s="531"/>
      <c r="AK46" s="531"/>
      <c r="AL46" s="531"/>
      <c r="AM46" s="531"/>
      <c r="AN46" s="531"/>
      <c r="AO46" s="531"/>
      <c r="AP46" s="531"/>
      <c r="AQ46" s="531"/>
      <c r="AR46" s="531"/>
      <c r="AS46" s="531"/>
      <c r="AT46" s="531"/>
      <c r="AU46" s="531"/>
      <c r="AV46" s="531"/>
      <c r="AW46" s="531"/>
      <c r="AX46" s="531"/>
      <c r="AY46" s="531"/>
      <c r="AZ46" s="531"/>
      <c r="BA46" s="531"/>
      <c r="BB46" s="531"/>
      <c r="BC46" s="531"/>
      <c r="BD46" s="527"/>
      <c r="BE46" s="510"/>
    </row>
    <row r="47" spans="1:58">
      <c r="A47" s="2"/>
      <c r="B47" s="321"/>
      <c r="C47" s="321"/>
      <c r="D47" s="321"/>
      <c r="E47" s="321"/>
      <c r="F47" s="321"/>
      <c r="G47" s="321"/>
      <c r="H47" s="321"/>
      <c r="I47" s="321"/>
      <c r="J47" s="321"/>
      <c r="K47" s="321"/>
      <c r="L47" s="321"/>
      <c r="M47" s="321"/>
      <c r="N47" s="321"/>
      <c r="O47" s="321"/>
      <c r="P47" s="321"/>
      <c r="Q47" s="321"/>
      <c r="R47" s="321"/>
      <c r="S47" s="321"/>
      <c r="T47" s="321"/>
      <c r="U47" s="321"/>
      <c r="V47" s="321"/>
      <c r="W47" s="321"/>
      <c r="X47" s="321"/>
      <c r="Y47" s="321"/>
      <c r="Z47" s="321"/>
      <c r="AA47" s="321"/>
      <c r="AB47" s="321"/>
      <c r="AC47" s="321"/>
      <c r="AD47" s="321"/>
      <c r="AE47" s="322"/>
      <c r="AF47" s="322"/>
      <c r="AG47" s="322"/>
      <c r="AH47" s="322"/>
      <c r="AI47" s="322"/>
      <c r="AJ47" s="322"/>
      <c r="AK47" s="322"/>
      <c r="AL47" s="322"/>
      <c r="AM47" s="322"/>
      <c r="AN47" s="322"/>
      <c r="AO47" s="322"/>
      <c r="AP47" s="322"/>
      <c r="AQ47" s="322"/>
      <c r="AR47" s="322"/>
      <c r="AS47" s="322"/>
      <c r="AT47" s="322"/>
      <c r="AU47" s="322"/>
      <c r="AV47" s="322"/>
      <c r="AW47" s="322"/>
      <c r="AX47" s="322"/>
      <c r="AY47" s="322"/>
      <c r="AZ47" s="322"/>
      <c r="BA47" s="322"/>
      <c r="BB47" s="322"/>
      <c r="BC47" s="322"/>
      <c r="BD47" s="2"/>
      <c r="BE47" s="2"/>
    </row>
    <row r="48" spans="1:58">
      <c r="A48" s="13" t="s">
        <v>118</v>
      </c>
      <c r="B48" s="350"/>
      <c r="C48" s="350"/>
      <c r="D48" s="350"/>
      <c r="E48" s="350"/>
      <c r="F48" s="350">
        <f t="shared" ref="F48:U48" si="31">F18/B18-1</f>
        <v>8.2958145991128385E-2</v>
      </c>
      <c r="G48" s="350">
        <f t="shared" si="31"/>
        <v>5.5610572684690496E-2</v>
      </c>
      <c r="H48" s="350">
        <f t="shared" si="31"/>
        <v>4.4409416857593698E-2</v>
      </c>
      <c r="I48" s="350">
        <f t="shared" si="31"/>
        <v>5.8957149041534818E-2</v>
      </c>
      <c r="J48" s="350">
        <f t="shared" si="31"/>
        <v>0.1113466348846861</v>
      </c>
      <c r="K48" s="350">
        <f t="shared" si="31"/>
        <v>0.11631713319958181</v>
      </c>
      <c r="L48" s="350">
        <f t="shared" si="31"/>
        <v>0.12062283403334595</v>
      </c>
      <c r="M48" s="350">
        <f t="shared" si="31"/>
        <v>0.11158830961284716</v>
      </c>
      <c r="N48" s="350">
        <f t="shared" si="31"/>
        <v>0.10898717423546844</v>
      </c>
      <c r="O48" s="350">
        <f t="shared" si="31"/>
        <v>0.12727910623874461</v>
      </c>
      <c r="P48" s="350">
        <f t="shared" si="31"/>
        <v>0.13766186610265363</v>
      </c>
      <c r="Q48" s="350">
        <f t="shared" si="31"/>
        <v>0.10712721185687579</v>
      </c>
      <c r="R48" s="350">
        <f t="shared" si="31"/>
        <v>7.8861318511026068E-2</v>
      </c>
      <c r="S48" s="350">
        <f t="shared" si="31"/>
        <v>7.7416237802809595E-2</v>
      </c>
      <c r="T48" s="350">
        <f t="shared" si="31"/>
        <v>5.927135381445825E-2</v>
      </c>
      <c r="U48" s="350">
        <f t="shared" si="31"/>
        <v>9.227681509636132E-2</v>
      </c>
      <c r="V48" s="350">
        <f t="shared" ref="V48:AC48" si="32">V18/R18-1</f>
        <v>9.3865308503091383E-2</v>
      </c>
      <c r="W48" s="350">
        <f t="shared" si="32"/>
        <v>7.9758230669699115E-2</v>
      </c>
      <c r="X48" s="350">
        <f t="shared" si="32"/>
        <v>-1.6004650186538405E-2</v>
      </c>
      <c r="Y48" s="350">
        <f t="shared" si="32"/>
        <v>-0.11406554337218489</v>
      </c>
      <c r="Z48" s="350">
        <f t="shared" si="32"/>
        <v>-0.13575373014389758</v>
      </c>
      <c r="AA48" s="350">
        <f t="shared" si="32"/>
        <v>-0.15820597730511698</v>
      </c>
      <c r="AB48" s="350">
        <f t="shared" si="32"/>
        <v>-0.22068531304051997</v>
      </c>
      <c r="AC48" s="351">
        <f t="shared" si="32"/>
        <v>-0.1989737829079341</v>
      </c>
      <c r="AD48" s="351">
        <f t="shared" ref="AD48:AM48" si="33">AD18/Z18-1</f>
        <v>-0.19859532308619754</v>
      </c>
      <c r="AE48" s="344">
        <f t="shared" si="33"/>
        <v>-0.17533619674896628</v>
      </c>
      <c r="AF48" s="352">
        <f t="shared" si="33"/>
        <v>-4.897517132379936E-2</v>
      </c>
      <c r="AG48" s="352">
        <f t="shared" si="33"/>
        <v>2.5915987510513938E-2</v>
      </c>
      <c r="AH48" s="352">
        <f t="shared" si="33"/>
        <v>4.0798491240992441E-2</v>
      </c>
      <c r="AI48" s="352">
        <f t="shared" si="33"/>
        <v>7.362361866123579E-2</v>
      </c>
      <c r="AJ48" s="352">
        <f t="shared" si="33"/>
        <v>0.13366244646480729</v>
      </c>
      <c r="AK48" s="352">
        <f t="shared" si="33"/>
        <v>0.23513874320587402</v>
      </c>
      <c r="AL48" s="352">
        <f t="shared" si="33"/>
        <v>0.20077234694606472</v>
      </c>
      <c r="AM48" s="352">
        <f t="shared" si="33"/>
        <v>0.27933609640392865</v>
      </c>
      <c r="AN48" s="352">
        <f t="shared" ref="AN48:AS48" si="34">AN18/AJ18-1</f>
        <v>0.29674472830271603</v>
      </c>
      <c r="AO48" s="352">
        <f t="shared" si="34"/>
        <v>8.698846223625667E-2</v>
      </c>
      <c r="AP48" s="352">
        <f t="shared" si="34"/>
        <v>0.11093004917470184</v>
      </c>
      <c r="AQ48" s="352">
        <f t="shared" si="34"/>
        <v>9.8285227393652752E-2</v>
      </c>
      <c r="AR48" s="352">
        <f t="shared" si="34"/>
        <v>8.3796129054534152E-2</v>
      </c>
      <c r="AS48" s="352">
        <f t="shared" si="34"/>
        <v>0.2447896776328915</v>
      </c>
      <c r="AT48" s="352">
        <f t="shared" ref="AT48:BA48" si="35">AT18/AP18-1</f>
        <v>0.26806805935719247</v>
      </c>
      <c r="AU48" s="352">
        <f t="shared" si="35"/>
        <v>0.2429571774944379</v>
      </c>
      <c r="AV48" s="352">
        <f t="shared" si="35"/>
        <v>0.20823196391933352</v>
      </c>
      <c r="AW48" s="352">
        <f t="shared" si="35"/>
        <v>0.11543010302502776</v>
      </c>
      <c r="AX48" s="352">
        <f t="shared" si="35"/>
        <v>0.12414367534175796</v>
      </c>
      <c r="AY48" s="352">
        <f t="shared" si="35"/>
        <v>0.10961792352200739</v>
      </c>
      <c r="AZ48" s="352">
        <f t="shared" si="35"/>
        <v>0.11811833071773159</v>
      </c>
      <c r="BA48" s="352">
        <f t="shared" si="35"/>
        <v>0.12872201826789098</v>
      </c>
      <c r="BB48" s="352">
        <f>BB18/AX18-1</f>
        <v>0.10469543567206374</v>
      </c>
      <c r="BC48" s="352">
        <f>BC18/AY18-1</f>
        <v>0.1854232938193987</v>
      </c>
      <c r="BD48" s="4"/>
      <c r="BE48" s="246"/>
    </row>
    <row r="49" spans="1:57">
      <c r="A49" s="2" t="s">
        <v>119</v>
      </c>
      <c r="B49" s="353"/>
      <c r="C49" s="353">
        <f t="shared" ref="C49:X49" si="36">C18/B18-1</f>
        <v>-6.0922017467095468E-3</v>
      </c>
      <c r="D49" s="353">
        <f t="shared" si="36"/>
        <v>4.1179306464584453E-2</v>
      </c>
      <c r="E49" s="353">
        <f t="shared" si="36"/>
        <v>3.5339214505546446E-2</v>
      </c>
      <c r="F49" s="353">
        <f t="shared" si="36"/>
        <v>1.0781728495466769E-2</v>
      </c>
      <c r="G49" s="353">
        <f t="shared" si="36"/>
        <v>-3.1191016943945105E-2</v>
      </c>
      <c r="H49" s="353">
        <f t="shared" si="36"/>
        <v>3.0131281788213782E-2</v>
      </c>
      <c r="I49" s="353">
        <f t="shared" si="36"/>
        <v>4.9760606508575611E-2</v>
      </c>
      <c r="J49" s="353">
        <f t="shared" si="36"/>
        <v>6.0787845460122059E-2</v>
      </c>
      <c r="K49" s="353">
        <f t="shared" si="36"/>
        <v>-2.6858018339746659E-2</v>
      </c>
      <c r="L49" s="353">
        <f t="shared" si="36"/>
        <v>3.4104558724463496E-2</v>
      </c>
      <c r="M49" s="353">
        <f t="shared" si="36"/>
        <v>4.129737735854655E-2</v>
      </c>
      <c r="N49" s="353">
        <f t="shared" si="36"/>
        <v>5.8305584024968438E-2</v>
      </c>
      <c r="O49" s="353">
        <f t="shared" si="36"/>
        <v>-1.0806753391317869E-2</v>
      </c>
      <c r="P49" s="353">
        <f t="shared" si="36"/>
        <v>4.3629138083726149E-2</v>
      </c>
      <c r="Q49" s="353">
        <f t="shared" si="36"/>
        <v>1.3349129876540022E-2</v>
      </c>
      <c r="R49" s="353">
        <f t="shared" si="36"/>
        <v>3.1286148096557387E-2</v>
      </c>
      <c r="S49" s="353">
        <f t="shared" si="36"/>
        <v>-1.2131728207677939E-2</v>
      </c>
      <c r="T49" s="353">
        <f t="shared" si="36"/>
        <v>2.6053266314789436E-2</v>
      </c>
      <c r="U49" s="353">
        <f t="shared" si="36"/>
        <v>4.4923716832706129E-2</v>
      </c>
      <c r="V49" s="353">
        <f>V18/U18-1</f>
        <v>3.2785943042364041E-2</v>
      </c>
      <c r="W49" s="354">
        <f t="shared" si="36"/>
        <v>-2.4871811004876787E-2</v>
      </c>
      <c r="X49" s="354">
        <f t="shared" si="36"/>
        <v>-6.494656485418826E-2</v>
      </c>
      <c r="Y49" s="354">
        <f t="shared" ref="Y49:AC49" si="37">Y18/X18-1</f>
        <v>-5.9209044569982883E-2</v>
      </c>
      <c r="Z49" s="354">
        <f>Z18/Y18-1</f>
        <v>7.5027471351161168E-3</v>
      </c>
      <c r="AA49" s="354">
        <f t="shared" si="37"/>
        <v>-5.020465868593893E-2</v>
      </c>
      <c r="AB49" s="354">
        <f t="shared" si="37"/>
        <v>-0.13434776744052745</v>
      </c>
      <c r="AC49" s="354">
        <f t="shared" si="37"/>
        <v>-3.2998822282275575E-2</v>
      </c>
      <c r="AD49" s="354">
        <f t="shared" ref="AD49:AO49" si="38">AD18/AC18-1</f>
        <v>7.9787606562018443E-3</v>
      </c>
      <c r="AE49" s="327">
        <f t="shared" si="38"/>
        <v>-2.2638797798763877E-2</v>
      </c>
      <c r="AF49" s="327">
        <f t="shared" si="38"/>
        <v>-1.70619479410139E-3</v>
      </c>
      <c r="AG49" s="327">
        <f t="shared" si="38"/>
        <v>4.3150439661003404E-2</v>
      </c>
      <c r="AH49" s="327">
        <f t="shared" si="38"/>
        <v>2.2601057070658737E-2</v>
      </c>
      <c r="AI49" s="327">
        <f t="shared" si="38"/>
        <v>8.1856185199078446E-3</v>
      </c>
      <c r="AJ49" s="327">
        <f t="shared" si="38"/>
        <v>5.4120063893153825E-2</v>
      </c>
      <c r="AK49" s="327">
        <f t="shared" si="38"/>
        <v>0.13652483332704635</v>
      </c>
      <c r="AL49" s="355">
        <f t="shared" si="38"/>
        <v>-5.85170852859207E-3</v>
      </c>
      <c r="AM49" s="356">
        <f t="shared" si="38"/>
        <v>7.4148865043586643E-2</v>
      </c>
      <c r="AN49" s="356">
        <f>AN18/AM18-1</f>
        <v>6.846405701663727E-2</v>
      </c>
      <c r="AO49" s="356">
        <f t="shared" si="38"/>
        <v>-4.7314900220600142E-2</v>
      </c>
      <c r="AP49" s="356">
        <f t="shared" ref="AP49:BC49" si="39">AP18/AO18-1</f>
        <v>1.6045016760471986E-2</v>
      </c>
      <c r="AQ49" s="356">
        <f t="shared" si="39"/>
        <v>6.1922693850465782E-2</v>
      </c>
      <c r="AR49" s="356">
        <f t="shared" si="39"/>
        <v>5.4368373666087377E-2</v>
      </c>
      <c r="AS49" s="356">
        <f t="shared" si="39"/>
        <v>9.4202633178427808E-2</v>
      </c>
      <c r="AT49" s="356">
        <f t="shared" si="39"/>
        <v>3.5045723606146328E-2</v>
      </c>
      <c r="AU49" s="356">
        <f t="shared" si="39"/>
        <v>4.0893999754839205E-2</v>
      </c>
      <c r="AV49" s="356">
        <f t="shared" si="39"/>
        <v>2.4911874580418658E-2</v>
      </c>
      <c r="AW49" s="356">
        <f t="shared" si="39"/>
        <v>1.0159135251909479E-2</v>
      </c>
      <c r="AX49" s="356">
        <f t="shared" si="39"/>
        <v>4.3131345232553242E-2</v>
      </c>
      <c r="AY49" s="356">
        <f t="shared" si="39"/>
        <v>2.7443968195030255E-2</v>
      </c>
      <c r="AZ49" s="356">
        <f t="shared" si="39"/>
        <v>3.276337741665003E-2</v>
      </c>
      <c r="BA49" s="356">
        <f t="shared" si="39"/>
        <v>1.9738990578380022E-2</v>
      </c>
      <c r="BB49" s="356">
        <f t="shared" si="39"/>
        <v>2.0926691634152395E-2</v>
      </c>
      <c r="BC49" s="356">
        <f t="shared" si="39"/>
        <v>0.10252651876999797</v>
      </c>
      <c r="BD49" s="4"/>
      <c r="BE49" s="246"/>
    </row>
    <row r="50" spans="1:57">
      <c r="A50" s="2"/>
      <c r="B50" s="353"/>
      <c r="C50" s="353"/>
      <c r="D50" s="353"/>
      <c r="E50" s="353"/>
      <c r="F50" s="353"/>
      <c r="G50" s="353"/>
      <c r="H50" s="353"/>
      <c r="I50" s="353"/>
      <c r="J50" s="353"/>
      <c r="K50" s="353"/>
      <c r="L50" s="353"/>
      <c r="M50" s="353"/>
      <c r="N50" s="353"/>
      <c r="O50" s="353"/>
      <c r="P50" s="353"/>
      <c r="Q50" s="353"/>
      <c r="R50" s="353"/>
      <c r="S50" s="353"/>
      <c r="T50" s="353"/>
      <c r="U50" s="353"/>
      <c r="V50" s="353"/>
      <c r="W50" s="353"/>
      <c r="X50" s="353"/>
      <c r="Y50" s="353"/>
      <c r="Z50" s="353"/>
      <c r="AA50" s="357"/>
      <c r="AB50" s="357"/>
      <c r="AC50" s="357"/>
      <c r="AD50" s="357"/>
      <c r="AE50" s="358"/>
      <c r="AF50" s="358"/>
      <c r="AG50" s="358"/>
      <c r="AH50" s="358"/>
      <c r="AI50" s="358"/>
      <c r="AJ50" s="358"/>
      <c r="AK50" s="358"/>
      <c r="AL50" s="358"/>
      <c r="AM50" s="358"/>
      <c r="AN50" s="358"/>
      <c r="AO50" s="358"/>
      <c r="AP50" s="358"/>
      <c r="AQ50" s="358"/>
      <c r="AR50" s="358"/>
      <c r="AS50" s="358"/>
      <c r="AT50" s="358"/>
      <c r="AU50" s="358"/>
      <c r="AV50" s="358"/>
      <c r="AW50" s="358"/>
      <c r="AX50" s="358"/>
      <c r="AY50" s="358"/>
      <c r="AZ50" s="358"/>
      <c r="BA50" s="358"/>
      <c r="BB50" s="358"/>
      <c r="BC50" s="358"/>
      <c r="BD50" s="58"/>
      <c r="BE50" s="13"/>
    </row>
    <row r="51" spans="1:57">
      <c r="A51" s="204" t="s">
        <v>111</v>
      </c>
      <c r="B51" s="359">
        <f t="shared" ref="B51:F51" si="40">B18*(100%-B28)</f>
        <v>78862.535249999986</v>
      </c>
      <c r="C51" s="359">
        <f t="shared" si="40"/>
        <v>78757.571834999995</v>
      </c>
      <c r="D51" s="359">
        <f t="shared" si="40"/>
        <v>82293.962915999989</v>
      </c>
      <c r="E51" s="359">
        <f t="shared" si="40"/>
        <v>84830.178585512898</v>
      </c>
      <c r="F51" s="359">
        <f t="shared" si="40"/>
        <v>85604.584594028289</v>
      </c>
      <c r="G51" s="359">
        <f>G18*(100%-G28)</f>
        <v>82438.545395388879</v>
      </c>
      <c r="H51" s="359">
        <f t="shared" ref="H51:Y51" si="41">H18*(100%-H28)</f>
        <v>84375.041652096857</v>
      </c>
      <c r="I51" s="359">
        <f t="shared" si="41"/>
        <v>88531.349260827279</v>
      </c>
      <c r="J51" s="359">
        <f t="shared" si="41"/>
        <v>94496.589140290234</v>
      </c>
      <c r="K51" s="359">
        <f t="shared" si="41"/>
        <v>92457.744654278082</v>
      </c>
      <c r="L51" s="359">
        <f t="shared" si="41"/>
        <v>94936.96422941405</v>
      </c>
      <c r="M51" s="359">
        <f t="shared" si="41"/>
        <v>98413.809317311781</v>
      </c>
      <c r="N51" s="359">
        <f t="shared" si="41"/>
        <v>103142.71129050532</v>
      </c>
      <c r="O51" s="359">
        <f t="shared" si="41"/>
        <v>99456.83607868453</v>
      </c>
      <c r="P51" s="359">
        <f t="shared" si="41"/>
        <v>100772.09400085108</v>
      </c>
      <c r="Q51" s="359">
        <f t="shared" si="41"/>
        <v>100648.00095789206</v>
      </c>
      <c r="R51" s="359">
        <f t="shared" si="41"/>
        <v>101579.86016337502</v>
      </c>
      <c r="S51" s="359">
        <f t="shared" si="41"/>
        <v>97553.766788290872</v>
      </c>
      <c r="T51" s="359">
        <f t="shared" si="41"/>
        <v>98037.641932219107</v>
      </c>
      <c r="U51" s="359">
        <f t="shared" si="41"/>
        <v>102408.97119167837</v>
      </c>
      <c r="V51" s="359">
        <f t="shared" si="41"/>
        <v>105429.59824414637</v>
      </c>
      <c r="W51" s="359">
        <f t="shared" si="41"/>
        <v>101604.33670367223</v>
      </c>
      <c r="X51" s="359">
        <f t="shared" si="41"/>
        <v>97144.767399306555</v>
      </c>
      <c r="Y51" s="359">
        <f t="shared" si="41"/>
        <v>92572.985067474394</v>
      </c>
      <c r="Z51" s="359">
        <f t="shared" ref="Z51" si="42">Z18*(100%-Z28)</f>
        <v>92724.274873563787</v>
      </c>
      <c r="AA51" s="360"/>
      <c r="AB51" s="360"/>
      <c r="AC51" s="360"/>
      <c r="AD51" s="360"/>
      <c r="AE51" s="360"/>
      <c r="AF51" s="360"/>
      <c r="AG51" s="360"/>
      <c r="AH51" s="360"/>
      <c r="AI51" s="360"/>
      <c r="AJ51" s="360"/>
      <c r="AK51" s="360"/>
      <c r="AL51" s="360"/>
      <c r="AM51" s="360"/>
      <c r="AN51" s="360"/>
      <c r="AO51" s="360"/>
      <c r="AP51" s="360"/>
      <c r="AQ51" s="360"/>
      <c r="AR51" s="360"/>
      <c r="AS51" s="360"/>
      <c r="AT51" s="360"/>
      <c r="AU51" s="360"/>
      <c r="AV51" s="360"/>
      <c r="AW51" s="360"/>
      <c r="AX51" s="360"/>
      <c r="AY51" s="360"/>
      <c r="AZ51" s="360"/>
      <c r="BA51" s="360"/>
      <c r="BB51" s="360"/>
      <c r="BC51" s="360"/>
      <c r="BD51" s="57"/>
      <c r="BE51" s="13"/>
    </row>
    <row r="52" spans="1:57">
      <c r="A52" s="2" t="s">
        <v>113</v>
      </c>
      <c r="B52" s="361">
        <f t="shared" ref="B52:X52" si="43">B18*B31</f>
        <v>12277.9995</v>
      </c>
      <c r="C52" s="361">
        <f t="shared" si="43"/>
        <v>11452.233329999999</v>
      </c>
      <c r="D52" s="361">
        <f t="shared" si="43"/>
        <v>11044.201674</v>
      </c>
      <c r="E52" s="361">
        <f t="shared" si="43"/>
        <v>11087.811656902912</v>
      </c>
      <c r="F52" s="361">
        <f t="shared" si="43"/>
        <v>11045.90104227164</v>
      </c>
      <c r="G52" s="361">
        <f t="shared" si="43"/>
        <v>9995.8044229945026</v>
      </c>
      <c r="H52" s="361">
        <f t="shared" si="43"/>
        <v>10084.75133440569</v>
      </c>
      <c r="I52" s="361">
        <f t="shared" si="43"/>
        <v>9704.6925938116092</v>
      </c>
      <c r="J52" s="361">
        <f t="shared" si="43"/>
        <v>9460.0720118934387</v>
      </c>
      <c r="K52" s="361">
        <f t="shared" si="43"/>
        <v>7419.8453836759636</v>
      </c>
      <c r="L52" s="361">
        <f t="shared" si="43"/>
        <v>6943.2416134118639</v>
      </c>
      <c r="M52" s="361">
        <f t="shared" si="43"/>
        <v>6662.0351775519321</v>
      </c>
      <c r="N52" s="361">
        <f t="shared" si="43"/>
        <v>6896.4733799729438</v>
      </c>
      <c r="O52" s="361">
        <f t="shared" si="43"/>
        <v>6738.5083850777301</v>
      </c>
      <c r="P52" s="361">
        <f t="shared" si="43"/>
        <v>7750.0354479025245</v>
      </c>
      <c r="Q52" s="361">
        <f t="shared" si="43"/>
        <v>7500.419352444319</v>
      </c>
      <c r="R52" s="361">
        <f t="shared" si="43"/>
        <v>7730.5452244271464</v>
      </c>
      <c r="S52" s="361">
        <f t="shared" si="43"/>
        <v>7276.18105323503</v>
      </c>
      <c r="T52" s="361">
        <f t="shared" si="43"/>
        <v>7350.4258931814957</v>
      </c>
      <c r="U52" s="361">
        <f t="shared" si="43"/>
        <v>7422.139512423857</v>
      </c>
      <c r="V52" s="361">
        <f t="shared" si="43"/>
        <v>7501.4326252557021</v>
      </c>
      <c r="W52" s="361">
        <f t="shared" si="43"/>
        <v>7118.6747973516312</v>
      </c>
      <c r="X52" s="361">
        <f t="shared" si="43"/>
        <v>7042.3715910205456</v>
      </c>
      <c r="Y52" s="361">
        <f t="shared" ref="Y52:Z52" si="44">Y18*Y31</f>
        <v>6967.1238949922708</v>
      </c>
      <c r="Z52" s="361">
        <f t="shared" si="44"/>
        <v>7102.9018273338625</v>
      </c>
      <c r="AA52" s="360"/>
      <c r="AB52" s="360"/>
      <c r="AC52" s="360"/>
      <c r="AD52" s="360"/>
      <c r="AE52" s="360"/>
      <c r="AF52" s="360"/>
      <c r="AG52" s="360"/>
      <c r="AH52" s="360"/>
      <c r="AI52" s="360"/>
      <c r="AJ52" s="360"/>
      <c r="AK52" s="360"/>
      <c r="AL52" s="360"/>
      <c r="AM52" s="360"/>
      <c r="AN52" s="360"/>
      <c r="AO52" s="360"/>
      <c r="AP52" s="360"/>
      <c r="AQ52" s="360"/>
      <c r="AR52" s="360"/>
      <c r="AS52" s="360"/>
      <c r="AT52" s="360"/>
      <c r="AU52" s="360"/>
      <c r="AV52" s="360"/>
      <c r="AW52" s="360"/>
      <c r="AX52" s="360"/>
      <c r="AY52" s="360"/>
      <c r="AZ52" s="360"/>
      <c r="BA52" s="360"/>
      <c r="BB52" s="360"/>
      <c r="BC52" s="360"/>
      <c r="BD52" s="205"/>
      <c r="BE52" s="14"/>
    </row>
    <row r="53" spans="1:57">
      <c r="A53" s="2" t="s">
        <v>112</v>
      </c>
      <c r="B53" s="361">
        <f t="shared" ref="B53:X53" si="45">B18*B32</f>
        <v>2550.0460499999999</v>
      </c>
      <c r="C53" s="361">
        <f t="shared" si="45"/>
        <v>2909.9937150000001</v>
      </c>
      <c r="D53" s="361">
        <f t="shared" si="45"/>
        <v>3420.77043</v>
      </c>
      <c r="E53" s="361">
        <f t="shared" si="45"/>
        <v>4104.2186536151339</v>
      </c>
      <c r="F53" s="361">
        <f t="shared" si="45"/>
        <v>4408.723169298346</v>
      </c>
      <c r="G53" s="361">
        <f t="shared" si="45"/>
        <v>5106.0574984361092</v>
      </c>
      <c r="H53" s="361">
        <f t="shared" si="45"/>
        <v>5775.7926575954434</v>
      </c>
      <c r="I53" s="361">
        <f t="shared" si="45"/>
        <v>7000.5817726059067</v>
      </c>
      <c r="J53" s="361">
        <f t="shared" si="45"/>
        <v>9270.1628444702983</v>
      </c>
      <c r="K53" s="361">
        <f t="shared" si="45"/>
        <v>10385.028571143917</v>
      </c>
      <c r="L53" s="361">
        <f t="shared" si="45"/>
        <v>12129.99414383996</v>
      </c>
      <c r="M53" s="361">
        <f t="shared" si="45"/>
        <v>13638.504159457963</v>
      </c>
      <c r="N53" s="361">
        <f t="shared" si="45"/>
        <v>15594.349096945631</v>
      </c>
      <c r="O53" s="361">
        <f t="shared" si="45"/>
        <v>18047.908485293698</v>
      </c>
      <c r="P53" s="361">
        <f t="shared" si="45"/>
        <v>21140.932973386407</v>
      </c>
      <c r="Q53" s="361">
        <f t="shared" si="45"/>
        <v>23235.055046253634</v>
      </c>
      <c r="R53" s="361">
        <f t="shared" si="45"/>
        <v>26089.610194207824</v>
      </c>
      <c r="S53" s="361">
        <f t="shared" si="45"/>
        <v>28931.134186764095</v>
      </c>
      <c r="T53" s="361">
        <f t="shared" si="45"/>
        <v>31838.573635219407</v>
      </c>
      <c r="U53" s="361">
        <f t="shared" si="45"/>
        <v>33567.281915087777</v>
      </c>
      <c r="V53" s="361">
        <f t="shared" si="45"/>
        <v>35249.808890107925</v>
      </c>
      <c r="W53" s="361">
        <f t="shared" si="45"/>
        <v>35760.060757705985</v>
      </c>
      <c r="X53" s="361">
        <f t="shared" si="45"/>
        <v>30872.073238057543</v>
      </c>
      <c r="Y53" s="361">
        <f t="shared" ref="Y53:Z53" si="46">Y18*Y32</f>
        <v>27470.620297445126</v>
      </c>
      <c r="Z53" s="361">
        <f t="shared" si="46"/>
        <v>28208.374601594725</v>
      </c>
      <c r="AA53" s="360"/>
      <c r="AB53" s="360"/>
      <c r="AC53" s="360"/>
      <c r="AD53" s="360"/>
      <c r="AE53" s="360"/>
      <c r="AF53" s="360"/>
      <c r="AG53" s="360"/>
      <c r="AH53" s="360"/>
      <c r="AI53" s="360"/>
      <c r="AJ53" s="360"/>
      <c r="AK53" s="360"/>
      <c r="AL53" s="360"/>
      <c r="AM53" s="360"/>
      <c r="AN53" s="360"/>
      <c r="AO53" s="360"/>
      <c r="AP53" s="360"/>
      <c r="AQ53" s="360"/>
      <c r="AR53" s="360"/>
      <c r="AS53" s="360"/>
      <c r="AT53" s="360"/>
      <c r="AU53" s="360"/>
      <c r="AV53" s="360"/>
      <c r="AW53" s="360"/>
      <c r="AX53" s="360"/>
      <c r="AY53" s="360"/>
      <c r="AZ53" s="360"/>
      <c r="BA53" s="360"/>
      <c r="BB53" s="360"/>
      <c r="BC53" s="360"/>
      <c r="BD53" s="205"/>
      <c r="BE53" s="14"/>
    </row>
    <row r="54" spans="1:57">
      <c r="A54" s="9" t="s">
        <v>114</v>
      </c>
      <c r="B54" s="362">
        <f t="shared" ref="B54:X54" si="47">B18*B33</f>
        <v>755.56920000000025</v>
      </c>
      <c r="C54" s="362">
        <f t="shared" si="47"/>
        <v>750.96612000000005</v>
      </c>
      <c r="D54" s="362">
        <f t="shared" si="47"/>
        <v>977.36297999999999</v>
      </c>
      <c r="E54" s="362">
        <f t="shared" si="47"/>
        <v>1066.8228819690571</v>
      </c>
      <c r="F54" s="362">
        <f t="shared" si="47"/>
        <v>1262.9311854017262</v>
      </c>
      <c r="G54" s="362">
        <f t="shared" si="47"/>
        <v>1530.7464887805054</v>
      </c>
      <c r="H54" s="362">
        <f t="shared" si="47"/>
        <v>1739.0476459020106</v>
      </c>
      <c r="I54" s="362">
        <f t="shared" si="47"/>
        <v>1919.4853727552022</v>
      </c>
      <c r="J54" s="362">
        <f t="shared" si="47"/>
        <v>443.07399734602637</v>
      </c>
      <c r="K54" s="362">
        <f t="shared" si="47"/>
        <v>354.33117990205625</v>
      </c>
      <c r="L54" s="362">
        <f t="shared" si="47"/>
        <v>379.29206233412424</v>
      </c>
      <c r="M54" s="362">
        <f t="shared" si="47"/>
        <v>399.12941367831439</v>
      </c>
      <c r="N54" s="362">
        <f t="shared" si="47"/>
        <v>424.92520457609919</v>
      </c>
      <c r="O54" s="362">
        <f t="shared" si="47"/>
        <v>452.92334394406862</v>
      </c>
      <c r="P54" s="362">
        <f t="shared" si="47"/>
        <v>473.50056485996902</v>
      </c>
      <c r="Q54" s="362">
        <f t="shared" si="47"/>
        <v>490.29751140996086</v>
      </c>
      <c r="R54" s="362">
        <f t="shared" si="47"/>
        <v>599.579673990007</v>
      </c>
      <c r="S54" s="362">
        <f t="shared" si="47"/>
        <v>588.60310171000322</v>
      </c>
      <c r="T54" s="362">
        <f t="shared" si="47"/>
        <v>623.29179537999869</v>
      </c>
      <c r="U54" s="362">
        <f t="shared" si="47"/>
        <v>644.27200380995782</v>
      </c>
      <c r="V54" s="362">
        <f t="shared" si="47"/>
        <v>584.39946149000025</v>
      </c>
      <c r="W54" s="362">
        <f t="shared" si="47"/>
        <v>582.10604827014322</v>
      </c>
      <c r="X54" s="362">
        <f t="shared" si="47"/>
        <v>584.48106761539748</v>
      </c>
      <c r="Y54" s="362">
        <f t="shared" ref="Y54:Z54" si="48">Y18*Y33</f>
        <v>601.63055408830769</v>
      </c>
      <c r="Z54" s="362">
        <f t="shared" si="48"/>
        <v>534.25177850760156</v>
      </c>
      <c r="AA54" s="363"/>
      <c r="AB54" s="363"/>
      <c r="AC54" s="363"/>
      <c r="AD54" s="363"/>
      <c r="AE54" s="363"/>
      <c r="AF54" s="363"/>
      <c r="AG54" s="363"/>
      <c r="AH54" s="363"/>
      <c r="AI54" s="363"/>
      <c r="AJ54" s="363"/>
      <c r="AK54" s="363"/>
      <c r="AL54" s="363"/>
      <c r="AM54" s="363"/>
      <c r="AN54" s="363"/>
      <c r="AO54" s="363"/>
      <c r="AP54" s="363"/>
      <c r="AQ54" s="363"/>
      <c r="AR54" s="363"/>
      <c r="AS54" s="363"/>
      <c r="AT54" s="363"/>
      <c r="AU54" s="363"/>
      <c r="AV54" s="363"/>
      <c r="AW54" s="363"/>
      <c r="AX54" s="363"/>
      <c r="AY54" s="363"/>
      <c r="AZ54" s="363"/>
      <c r="BA54" s="363"/>
      <c r="BB54" s="363"/>
      <c r="BC54" s="363"/>
      <c r="BD54" s="205"/>
      <c r="BE54" s="14"/>
    </row>
    <row r="55" spans="1:57">
      <c r="A55" s="2"/>
      <c r="B55" s="364"/>
      <c r="C55" s="364"/>
      <c r="D55" s="364"/>
      <c r="E55" s="364"/>
      <c r="F55" s="364"/>
      <c r="G55" s="364"/>
      <c r="H55" s="364"/>
      <c r="I55" s="364"/>
      <c r="J55" s="364"/>
      <c r="K55" s="364"/>
      <c r="L55" s="364"/>
      <c r="M55" s="364"/>
      <c r="N55" s="364"/>
      <c r="O55" s="364"/>
      <c r="P55" s="364"/>
      <c r="Q55" s="364"/>
      <c r="R55" s="364"/>
      <c r="S55" s="364"/>
      <c r="T55" s="364"/>
      <c r="U55" s="364"/>
      <c r="V55" s="364"/>
      <c r="W55" s="364"/>
      <c r="X55" s="364"/>
      <c r="Y55" s="364"/>
      <c r="Z55" s="364"/>
      <c r="AA55" s="364"/>
      <c r="AB55" s="364"/>
      <c r="AC55" s="361"/>
      <c r="AD55" s="361"/>
      <c r="AE55" s="329"/>
      <c r="AF55" s="330"/>
      <c r="AG55" s="330"/>
      <c r="AH55" s="330"/>
      <c r="AI55" s="330"/>
      <c r="AJ55" s="330"/>
      <c r="AK55" s="330"/>
      <c r="AL55" s="330"/>
      <c r="AM55" s="330"/>
      <c r="AN55" s="330"/>
      <c r="AO55" s="330"/>
      <c r="AP55" s="330"/>
      <c r="AQ55" s="330"/>
      <c r="AR55" s="330"/>
      <c r="AS55" s="330"/>
      <c r="AT55" s="330"/>
      <c r="AU55" s="330"/>
      <c r="AV55" s="330"/>
      <c r="AW55" s="330"/>
      <c r="AX55" s="330"/>
      <c r="AY55" s="330"/>
      <c r="AZ55" s="330"/>
      <c r="BA55" s="330"/>
      <c r="BB55" s="330"/>
      <c r="BC55" s="330"/>
      <c r="BD55" s="57"/>
      <c r="BE55" s="13"/>
    </row>
    <row r="56" spans="1:57">
      <c r="A56" s="2" t="s">
        <v>131</v>
      </c>
      <c r="B56" s="353"/>
      <c r="C56" s="353"/>
      <c r="D56" s="353"/>
      <c r="E56" s="353"/>
      <c r="F56" s="353"/>
      <c r="G56" s="353"/>
      <c r="H56" s="353"/>
      <c r="I56" s="353"/>
      <c r="J56" s="353"/>
      <c r="K56" s="353"/>
      <c r="L56" s="353"/>
      <c r="M56" s="353"/>
      <c r="N56" s="353"/>
      <c r="O56" s="353"/>
      <c r="P56" s="353"/>
      <c r="Q56" s="353"/>
      <c r="R56" s="353"/>
      <c r="S56" s="353"/>
      <c r="T56" s="353"/>
      <c r="U56" s="353"/>
      <c r="V56" s="353"/>
      <c r="W56" s="353"/>
      <c r="X56" s="353"/>
      <c r="Y56" s="353"/>
      <c r="Z56" s="353"/>
      <c r="AA56" s="353"/>
      <c r="AB56" s="353"/>
      <c r="AC56" s="354"/>
      <c r="AD56" s="354"/>
      <c r="AE56" s="326"/>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58"/>
      <c r="BE56" s="13"/>
    </row>
    <row r="57" spans="1:57">
      <c r="A57" s="2" t="s">
        <v>22</v>
      </c>
      <c r="B57" s="353"/>
      <c r="C57" s="353"/>
      <c r="D57" s="353"/>
      <c r="E57" s="353"/>
      <c r="F57" s="353">
        <f t="shared" ref="F57:O60" si="49">F51/B51-1</f>
        <v>8.5491156512474742E-2</v>
      </c>
      <c r="G57" s="353">
        <f>G51/C51-1</f>
        <v>4.6738027527063242E-2</v>
      </c>
      <c r="H57" s="353">
        <f t="shared" si="49"/>
        <v>2.5288352418039395E-2</v>
      </c>
      <c r="I57" s="353">
        <f t="shared" si="49"/>
        <v>4.363035345473687E-2</v>
      </c>
      <c r="J57" s="353">
        <f t="shared" si="49"/>
        <v>0.10387299451812582</v>
      </c>
      <c r="K57" s="353">
        <f t="shared" si="49"/>
        <v>0.12153537172248097</v>
      </c>
      <c r="L57" s="353">
        <f t="shared" si="49"/>
        <v>0.12517827986227381</v>
      </c>
      <c r="M57" s="353">
        <f t="shared" si="49"/>
        <v>0.11162667392958414</v>
      </c>
      <c r="N57" s="353">
        <f t="shared" si="49"/>
        <v>9.1496658544775622E-2</v>
      </c>
      <c r="O57" s="353">
        <f t="shared" si="49"/>
        <v>7.5700434296529062E-2</v>
      </c>
      <c r="P57" s="353">
        <f t="shared" ref="P57:U60" si="50">P51/L51-1</f>
        <v>6.1463201596972272E-2</v>
      </c>
      <c r="Q57" s="353">
        <f t="shared" si="50"/>
        <v>2.2702013630797158E-2</v>
      </c>
      <c r="R57" s="353">
        <f t="shared" si="50"/>
        <v>-1.5152317673019722E-2</v>
      </c>
      <c r="S57" s="353">
        <f t="shared" si="50"/>
        <v>-1.9134625284963458E-2</v>
      </c>
      <c r="T57" s="353">
        <f t="shared" si="50"/>
        <v>-2.7135012879745068E-2</v>
      </c>
      <c r="U57" s="353">
        <f t="shared" si="50"/>
        <v>1.7496325977930161E-2</v>
      </c>
      <c r="V57" s="353">
        <f t="shared" ref="V57:Z60" si="51">V51/R51-1</f>
        <v>3.7898635365117173E-2</v>
      </c>
      <c r="W57" s="353">
        <f t="shared" si="51"/>
        <v>4.1521409667059084E-2</v>
      </c>
      <c r="X57" s="353">
        <f t="shared" si="51"/>
        <v>-9.1074664314128029E-3</v>
      </c>
      <c r="Y57" s="353">
        <f t="shared" si="51"/>
        <v>-9.6046137459910752E-2</v>
      </c>
      <c r="Z57" s="353">
        <f t="shared" si="51"/>
        <v>-0.12051002358142826</v>
      </c>
      <c r="AA57" s="360"/>
      <c r="AB57" s="360"/>
      <c r="AC57" s="360"/>
      <c r="AD57" s="360"/>
      <c r="AE57" s="360"/>
      <c r="AF57" s="360"/>
      <c r="AG57" s="360"/>
      <c r="AH57" s="360"/>
      <c r="AI57" s="360"/>
      <c r="AJ57" s="360"/>
      <c r="AK57" s="360"/>
      <c r="AL57" s="360"/>
      <c r="AM57" s="360"/>
      <c r="AN57" s="360"/>
      <c r="AO57" s="360"/>
      <c r="AP57" s="360"/>
      <c r="AQ57" s="360"/>
      <c r="AR57" s="360"/>
      <c r="AS57" s="360"/>
      <c r="AT57" s="360"/>
      <c r="AU57" s="360"/>
      <c r="AV57" s="360"/>
      <c r="AW57" s="360"/>
      <c r="AX57" s="360"/>
      <c r="AY57" s="360"/>
      <c r="AZ57" s="360"/>
      <c r="BA57" s="360"/>
      <c r="BB57" s="360"/>
      <c r="BC57" s="360"/>
      <c r="BD57" s="4"/>
      <c r="BE57" s="13"/>
    </row>
    <row r="58" spans="1:57">
      <c r="A58" s="2" t="s">
        <v>105</v>
      </c>
      <c r="B58" s="353"/>
      <c r="C58" s="353"/>
      <c r="D58" s="353"/>
      <c r="E58" s="353"/>
      <c r="F58" s="353">
        <f t="shared" si="49"/>
        <v>-0.10035009837949249</v>
      </c>
      <c r="G58" s="353">
        <f t="shared" si="49"/>
        <v>-0.12717422576348225</v>
      </c>
      <c r="H58" s="353">
        <f t="shared" si="49"/>
        <v>-8.6873670720177598E-2</v>
      </c>
      <c r="I58" s="353">
        <f t="shared" si="49"/>
        <v>-0.12474229414153315</v>
      </c>
      <c r="J58" s="353">
        <f t="shared" si="49"/>
        <v>-0.14356719513504423</v>
      </c>
      <c r="K58" s="353">
        <f t="shared" si="49"/>
        <v>-0.25770402564027395</v>
      </c>
      <c r="L58" s="353">
        <f t="shared" si="49"/>
        <v>-0.31151087585829507</v>
      </c>
      <c r="M58" s="353">
        <f t="shared" si="49"/>
        <v>-0.31352434781910432</v>
      </c>
      <c r="N58" s="353">
        <f t="shared" si="49"/>
        <v>-0.27099145003309433</v>
      </c>
      <c r="O58" s="353">
        <f t="shared" si="49"/>
        <v>-9.1826306798415192E-2</v>
      </c>
      <c r="P58" s="353">
        <f t="shared" si="50"/>
        <v>0.11619843862731538</v>
      </c>
      <c r="Q58" s="353">
        <f t="shared" si="50"/>
        <v>0.12584505373333443</v>
      </c>
      <c r="R58" s="353">
        <f t="shared" si="50"/>
        <v>0.12094179133298932</v>
      </c>
      <c r="S58" s="353">
        <f t="shared" si="50"/>
        <v>7.9791051287843473E-2</v>
      </c>
      <c r="T58" s="353">
        <f t="shared" si="50"/>
        <v>-5.1562287347882929E-2</v>
      </c>
      <c r="U58" s="353">
        <f t="shared" si="50"/>
        <v>-1.0436728447050236E-2</v>
      </c>
      <c r="V58" s="353">
        <f t="shared" si="51"/>
        <v>-2.963731438340067E-2</v>
      </c>
      <c r="W58" s="353">
        <f t="shared" si="51"/>
        <v>-2.16468302164321E-2</v>
      </c>
      <c r="X58" s="353">
        <f t="shared" si="51"/>
        <v>-4.1909721509703513E-2</v>
      </c>
      <c r="Y58" s="353">
        <f t="shared" si="51"/>
        <v>-6.1305182511045442E-2</v>
      </c>
      <c r="Z58" s="353">
        <f t="shared" si="51"/>
        <v>-5.3127291522964915E-2</v>
      </c>
      <c r="AA58" s="360"/>
      <c r="AB58" s="360"/>
      <c r="AC58" s="360"/>
      <c r="AD58" s="360"/>
      <c r="AE58" s="360"/>
      <c r="AF58" s="360"/>
      <c r="AG58" s="360"/>
      <c r="AH58" s="360"/>
      <c r="AI58" s="360"/>
      <c r="AJ58" s="360"/>
      <c r="AK58" s="360"/>
      <c r="AL58" s="360"/>
      <c r="AM58" s="360"/>
      <c r="AN58" s="360"/>
      <c r="AO58" s="360"/>
      <c r="AP58" s="360"/>
      <c r="AQ58" s="360"/>
      <c r="AR58" s="360"/>
      <c r="AS58" s="360"/>
      <c r="AT58" s="360"/>
      <c r="AU58" s="360"/>
      <c r="AV58" s="360"/>
      <c r="AW58" s="360"/>
      <c r="AX58" s="360"/>
      <c r="AY58" s="360"/>
      <c r="AZ58" s="360"/>
      <c r="BA58" s="360"/>
      <c r="BB58" s="360"/>
      <c r="BC58" s="360"/>
      <c r="BD58" s="201"/>
      <c r="BE58" s="14"/>
    </row>
    <row r="59" spans="1:57">
      <c r="A59" s="2" t="s">
        <v>128</v>
      </c>
      <c r="B59" s="353"/>
      <c r="C59" s="353"/>
      <c r="D59" s="353"/>
      <c r="E59" s="353"/>
      <c r="F59" s="353">
        <f t="shared" si="49"/>
        <v>0.72887982524799733</v>
      </c>
      <c r="G59" s="353">
        <f t="shared" si="49"/>
        <v>0.75466272388018174</v>
      </c>
      <c r="H59" s="353">
        <f t="shared" si="49"/>
        <v>0.68844790253739507</v>
      </c>
      <c r="I59" s="353">
        <f t="shared" si="49"/>
        <v>0.70570390211534151</v>
      </c>
      <c r="J59" s="353">
        <f t="shared" si="49"/>
        <v>1.1026865349646475</v>
      </c>
      <c r="K59" s="353">
        <f t="shared" si="49"/>
        <v>1.0338644001413337</v>
      </c>
      <c r="L59" s="353">
        <f t="shared" si="49"/>
        <v>1.1001436275397523</v>
      </c>
      <c r="M59" s="353">
        <f t="shared" si="49"/>
        <v>0.94819582178541517</v>
      </c>
      <c r="N59" s="353">
        <f t="shared" si="49"/>
        <v>0.68220875496785305</v>
      </c>
      <c r="O59" s="353">
        <f t="shared" si="49"/>
        <v>0.73787759577687018</v>
      </c>
      <c r="P59" s="353">
        <f t="shared" si="50"/>
        <v>0.74286423576902716</v>
      </c>
      <c r="Q59" s="353">
        <f t="shared" si="50"/>
        <v>0.70363661400071509</v>
      </c>
      <c r="R59" s="353">
        <f t="shared" si="50"/>
        <v>0.67301693914995364</v>
      </c>
      <c r="S59" s="353">
        <f t="shared" si="50"/>
        <v>0.60301866614287025</v>
      </c>
      <c r="T59" s="353">
        <f t="shared" si="50"/>
        <v>0.50601554223268641</v>
      </c>
      <c r="U59" s="353">
        <f t="shared" si="50"/>
        <v>0.44468269381182668</v>
      </c>
      <c r="V59" s="353">
        <f t="shared" si="51"/>
        <v>0.35110523414158812</v>
      </c>
      <c r="W59" s="353">
        <f t="shared" si="51"/>
        <v>0.23604074858793833</v>
      </c>
      <c r="X59" s="353">
        <f t="shared" si="51"/>
        <v>-3.0356271868056783E-2</v>
      </c>
      <c r="Y59" s="353">
        <f t="shared" si="51"/>
        <v>-0.18162512034977518</v>
      </c>
      <c r="Z59" s="353">
        <f t="shared" si="51"/>
        <v>-0.19975808409245643</v>
      </c>
      <c r="AA59" s="360"/>
      <c r="AB59" s="360"/>
      <c r="AC59" s="360"/>
      <c r="AD59" s="360"/>
      <c r="AE59" s="360"/>
      <c r="AF59" s="360"/>
      <c r="AG59" s="360"/>
      <c r="AH59" s="360"/>
      <c r="AI59" s="360"/>
      <c r="AJ59" s="360"/>
      <c r="AK59" s="360"/>
      <c r="AL59" s="360"/>
      <c r="AM59" s="360"/>
      <c r="AN59" s="360"/>
      <c r="AO59" s="360"/>
      <c r="AP59" s="360"/>
      <c r="AQ59" s="360"/>
      <c r="AR59" s="360"/>
      <c r="AS59" s="360"/>
      <c r="AT59" s="360"/>
      <c r="AU59" s="360"/>
      <c r="AV59" s="360"/>
      <c r="AW59" s="360"/>
      <c r="AX59" s="360"/>
      <c r="AY59" s="360"/>
      <c r="AZ59" s="360"/>
      <c r="BA59" s="360"/>
      <c r="BB59" s="360"/>
      <c r="BC59" s="360"/>
      <c r="BD59" s="201"/>
      <c r="BE59" s="14"/>
    </row>
    <row r="60" spans="1:57">
      <c r="A60" s="2" t="s">
        <v>107</v>
      </c>
      <c r="B60" s="353"/>
      <c r="C60" s="353"/>
      <c r="D60" s="353"/>
      <c r="E60" s="353"/>
      <c r="F60" s="353">
        <f t="shared" si="49"/>
        <v>0.67149638365582631</v>
      </c>
      <c r="G60" s="353">
        <f t="shared" si="49"/>
        <v>1.0383695722258488</v>
      </c>
      <c r="H60" s="353">
        <f t="shared" si="49"/>
        <v>0.77932629073183279</v>
      </c>
      <c r="I60" s="353">
        <f t="shared" si="49"/>
        <v>0.7992540328834794</v>
      </c>
      <c r="J60" s="353">
        <f t="shared" si="49"/>
        <v>-0.64917011911057632</v>
      </c>
      <c r="K60" s="353">
        <f t="shared" si="49"/>
        <v>-0.76852393097152216</v>
      </c>
      <c r="L60" s="353">
        <f t="shared" si="49"/>
        <v>-0.78189668165336967</v>
      </c>
      <c r="M60" s="353">
        <f t="shared" si="49"/>
        <v>-0.79206436300923211</v>
      </c>
      <c r="N60" s="353">
        <f t="shared" si="49"/>
        <v>-4.0961087490208881E-2</v>
      </c>
      <c r="O60" s="353">
        <f t="shared" si="49"/>
        <v>0.27824862624075331</v>
      </c>
      <c r="P60" s="353">
        <f t="shared" si="50"/>
        <v>0.24837984203016372</v>
      </c>
      <c r="Q60" s="353">
        <f t="shared" si="50"/>
        <v>0.22841738696092451</v>
      </c>
      <c r="R60" s="353">
        <f t="shared" si="50"/>
        <v>0.41102402854201414</v>
      </c>
      <c r="S60" s="353">
        <f t="shared" si="50"/>
        <v>0.29956450595906947</v>
      </c>
      <c r="T60" s="353">
        <f t="shared" si="50"/>
        <v>0.31634857830492402</v>
      </c>
      <c r="U60" s="353">
        <f t="shared" si="50"/>
        <v>0.31404298169331657</v>
      </c>
      <c r="V60" s="353">
        <f t="shared" si="51"/>
        <v>-2.5318090586672781E-2</v>
      </c>
      <c r="W60" s="353">
        <f t="shared" si="51"/>
        <v>-1.1038089029746567E-2</v>
      </c>
      <c r="X60" s="353">
        <f t="shared" si="51"/>
        <v>-6.2267349020597496E-2</v>
      </c>
      <c r="Y60" s="353">
        <f t="shared" si="51"/>
        <v>-6.6185476738840565E-2</v>
      </c>
      <c r="Z60" s="353">
        <f t="shared" si="51"/>
        <v>-8.5810624901229149E-2</v>
      </c>
      <c r="AA60" s="360"/>
      <c r="AB60" s="360"/>
      <c r="AC60" s="360"/>
      <c r="AD60" s="360"/>
      <c r="AE60" s="360"/>
      <c r="AF60" s="360"/>
      <c r="AG60" s="360"/>
      <c r="AH60" s="360"/>
      <c r="AI60" s="360"/>
      <c r="AJ60" s="360"/>
      <c r="AK60" s="360"/>
      <c r="AL60" s="360"/>
      <c r="AM60" s="360"/>
      <c r="AN60" s="360"/>
      <c r="AO60" s="360"/>
      <c r="AP60" s="360"/>
      <c r="AQ60" s="360"/>
      <c r="AR60" s="360"/>
      <c r="AS60" s="360"/>
      <c r="AT60" s="360"/>
      <c r="AU60" s="360"/>
      <c r="AV60" s="360"/>
      <c r="AW60" s="360"/>
      <c r="AX60" s="360"/>
      <c r="AY60" s="360"/>
      <c r="AZ60" s="360"/>
      <c r="BA60" s="360"/>
      <c r="BB60" s="360"/>
      <c r="BC60" s="360"/>
      <c r="BD60" s="201"/>
      <c r="BE60" s="14"/>
    </row>
    <row r="61" spans="1:57">
      <c r="A61" s="2"/>
      <c r="B61" s="353"/>
      <c r="C61" s="353"/>
      <c r="D61" s="353"/>
      <c r="E61" s="353"/>
      <c r="F61" s="353"/>
      <c r="G61" s="353"/>
      <c r="H61" s="353"/>
      <c r="I61" s="353"/>
      <c r="J61" s="353"/>
      <c r="K61" s="353"/>
      <c r="L61" s="353"/>
      <c r="M61" s="353"/>
      <c r="N61" s="353"/>
      <c r="O61" s="353"/>
      <c r="P61" s="353"/>
      <c r="Q61" s="353"/>
      <c r="R61" s="353"/>
      <c r="S61" s="353"/>
      <c r="T61" s="353"/>
      <c r="U61" s="353"/>
      <c r="V61" s="353"/>
      <c r="W61" s="353"/>
      <c r="X61" s="353"/>
      <c r="Y61" s="353"/>
      <c r="Z61" s="353"/>
      <c r="AA61" s="353"/>
      <c r="AB61" s="353"/>
      <c r="AC61" s="354"/>
      <c r="AD61" s="354"/>
      <c r="AE61" s="326"/>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4"/>
      <c r="BE61" s="2"/>
    </row>
    <row r="62" spans="1:57">
      <c r="A62" s="2" t="s">
        <v>129</v>
      </c>
      <c r="B62" s="353"/>
      <c r="C62" s="353">
        <f t="shared" ref="C62:Y62" si="52">C51/B51-1</f>
        <v>-1.3309667850170959E-3</v>
      </c>
      <c r="D62" s="353">
        <f t="shared" si="52"/>
        <v>4.4902236046698629E-2</v>
      </c>
      <c r="E62" s="353">
        <f t="shared" si="52"/>
        <v>3.0818976017739086E-2</v>
      </c>
      <c r="F62" s="353">
        <f t="shared" si="52"/>
        <v>9.1288975389194338E-3</v>
      </c>
      <c r="G62" s="353">
        <f t="shared" si="52"/>
        <v>-3.6984458410189713E-2</v>
      </c>
      <c r="H62" s="353">
        <f t="shared" si="52"/>
        <v>2.3490179835418346E-2</v>
      </c>
      <c r="I62" s="353">
        <f t="shared" si="52"/>
        <v>4.9259917712018542E-2</v>
      </c>
      <c r="J62" s="353">
        <f t="shared" si="52"/>
        <v>6.7379972509945762E-2</v>
      </c>
      <c r="K62" s="353">
        <f t="shared" si="52"/>
        <v>-2.1575852679563634E-2</v>
      </c>
      <c r="L62" s="353">
        <f t="shared" si="52"/>
        <v>2.6814623095192003E-2</v>
      </c>
      <c r="M62" s="353">
        <f t="shared" si="52"/>
        <v>3.6622669748486825E-2</v>
      </c>
      <c r="N62" s="353">
        <f t="shared" si="52"/>
        <v>4.8051203443881807E-2</v>
      </c>
      <c r="O62" s="353">
        <f t="shared" si="52"/>
        <v>-3.5735682780719147E-2</v>
      </c>
      <c r="P62" s="353">
        <f t="shared" si="52"/>
        <v>1.3224409442564644E-2</v>
      </c>
      <c r="Q62" s="353">
        <f t="shared" si="52"/>
        <v>-1.2314226888842095E-3</v>
      </c>
      <c r="R62" s="353">
        <f t="shared" si="52"/>
        <v>9.2585962623621398E-3</v>
      </c>
      <c r="S62" s="353">
        <f t="shared" si="52"/>
        <v>-3.9634759967269284E-2</v>
      </c>
      <c r="T62" s="353">
        <f t="shared" si="52"/>
        <v>4.9600867281560657E-3</v>
      </c>
      <c r="U62" s="353">
        <f t="shared" si="52"/>
        <v>4.4588274190453303E-2</v>
      </c>
      <c r="V62" s="353">
        <f>V51/U51-1</f>
        <v>2.9495726959450685E-2</v>
      </c>
      <c r="W62" s="353">
        <f t="shared" si="52"/>
        <v>-3.6282615168615862E-2</v>
      </c>
      <c r="X62" s="353">
        <f t="shared" si="52"/>
        <v>-4.3891525195149494E-2</v>
      </c>
      <c r="Y62" s="353">
        <f t="shared" si="52"/>
        <v>-4.7061539743465386E-2</v>
      </c>
      <c r="Z62" s="353">
        <f>Z51/Y51-1</f>
        <v>1.6342759821250663E-3</v>
      </c>
      <c r="AA62" s="360"/>
      <c r="AB62" s="360"/>
      <c r="AC62" s="360"/>
      <c r="AD62" s="360"/>
      <c r="AE62" s="360"/>
      <c r="AF62" s="360"/>
      <c r="AG62" s="360"/>
      <c r="AH62" s="360"/>
      <c r="AI62" s="360"/>
      <c r="AJ62" s="360"/>
      <c r="AK62" s="360"/>
      <c r="AL62" s="360"/>
      <c r="AM62" s="360"/>
      <c r="AN62" s="360"/>
      <c r="AO62" s="360"/>
      <c r="AP62" s="360"/>
      <c r="AQ62" s="360"/>
      <c r="AR62" s="360"/>
      <c r="AS62" s="360"/>
      <c r="AT62" s="360"/>
      <c r="AU62" s="360"/>
      <c r="AV62" s="360"/>
      <c r="AW62" s="360"/>
      <c r="AX62" s="360"/>
      <c r="AY62" s="360"/>
      <c r="AZ62" s="360"/>
      <c r="BA62" s="360"/>
      <c r="BB62" s="360"/>
      <c r="BC62" s="360"/>
      <c r="BD62" s="4"/>
      <c r="BE62" s="2"/>
    </row>
    <row r="63" spans="1:57">
      <c r="A63" s="2" t="s">
        <v>130</v>
      </c>
      <c r="B63" s="353"/>
      <c r="C63" s="353">
        <f t="shared" ref="C63:Y63" si="53">C53/B53-1</f>
        <v>0.14115339799451854</v>
      </c>
      <c r="D63" s="353">
        <f t="shared" si="53"/>
        <v>0.17552502342775678</v>
      </c>
      <c r="E63" s="353">
        <f t="shared" si="53"/>
        <v>0.1997936539737728</v>
      </c>
      <c r="F63" s="353">
        <f t="shared" si="53"/>
        <v>7.4193053875186266E-2</v>
      </c>
      <c r="G63" s="353">
        <f t="shared" si="53"/>
        <v>0.15817149373176553</v>
      </c>
      <c r="H63" s="353">
        <f t="shared" si="53"/>
        <v>0.13116482910042859</v>
      </c>
      <c r="I63" s="353">
        <f t="shared" si="53"/>
        <v>0.2120555891839031</v>
      </c>
      <c r="J63" s="353">
        <f t="shared" si="53"/>
        <v>0.32419892311600829</v>
      </c>
      <c r="K63" s="353">
        <f t="shared" si="53"/>
        <v>0.12026387727791032</v>
      </c>
      <c r="L63" s="353">
        <f t="shared" si="53"/>
        <v>0.16802703629960591</v>
      </c>
      <c r="M63" s="353">
        <f t="shared" si="53"/>
        <v>0.12436197394077708</v>
      </c>
      <c r="N63" s="353">
        <f t="shared" si="53"/>
        <v>0.1434061180478754</v>
      </c>
      <c r="O63" s="353">
        <f t="shared" si="53"/>
        <v>0.15733644111049361</v>
      </c>
      <c r="P63" s="353">
        <f t="shared" si="53"/>
        <v>0.1713785556156302</v>
      </c>
      <c r="Q63" s="353">
        <f t="shared" si="53"/>
        <v>9.9055329086159327E-2</v>
      </c>
      <c r="R63" s="353">
        <f t="shared" si="53"/>
        <v>0.12285553626929979</v>
      </c>
      <c r="S63" s="353">
        <f t="shared" si="53"/>
        <v>0.10891400720073308</v>
      </c>
      <c r="T63" s="353">
        <f t="shared" si="53"/>
        <v>0.10049517691516763</v>
      </c>
      <c r="U63" s="353">
        <f t="shared" si="53"/>
        <v>5.4296034102359947E-2</v>
      </c>
      <c r="V63" s="353">
        <f>V53/U53-1</f>
        <v>5.0124015977113912E-2</v>
      </c>
      <c r="W63" s="353">
        <f t="shared" si="53"/>
        <v>1.4475308765184547E-2</v>
      </c>
      <c r="X63" s="353">
        <f t="shared" si="53"/>
        <v>-0.13668845678890862</v>
      </c>
      <c r="Y63" s="353">
        <f t="shared" si="53"/>
        <v>-0.11017896058951027</v>
      </c>
      <c r="Z63" s="353">
        <f>Z53/Y53-1</f>
        <v>2.6856121054471105E-2</v>
      </c>
      <c r="AA63" s="360"/>
      <c r="AB63" s="360"/>
      <c r="AC63" s="360"/>
      <c r="AD63" s="360"/>
      <c r="AE63" s="360"/>
      <c r="AF63" s="360"/>
      <c r="AG63" s="360"/>
      <c r="AH63" s="360"/>
      <c r="AI63" s="360"/>
      <c r="AJ63" s="360"/>
      <c r="AK63" s="360"/>
      <c r="AL63" s="360"/>
      <c r="AM63" s="360"/>
      <c r="AN63" s="360"/>
      <c r="AO63" s="360"/>
      <c r="AP63" s="360"/>
      <c r="AQ63" s="360"/>
      <c r="AR63" s="360"/>
      <c r="AS63" s="360"/>
      <c r="AT63" s="360"/>
      <c r="AU63" s="360"/>
      <c r="AV63" s="360"/>
      <c r="AW63" s="360"/>
      <c r="AX63" s="360"/>
      <c r="AY63" s="360"/>
      <c r="AZ63" s="360"/>
      <c r="BA63" s="360"/>
      <c r="BB63" s="360"/>
      <c r="BC63" s="360"/>
      <c r="BD63" s="201"/>
      <c r="BE63" s="14"/>
    </row>
    <row r="64" spans="1:57" ht="15.7" thickBot="1">
      <c r="A64" s="2"/>
      <c r="B64" s="353"/>
      <c r="C64" s="353"/>
      <c r="D64" s="353"/>
      <c r="E64" s="353"/>
      <c r="F64" s="353"/>
      <c r="G64" s="353"/>
      <c r="H64" s="353"/>
      <c r="I64" s="353"/>
      <c r="J64" s="353"/>
      <c r="K64" s="353"/>
      <c r="L64" s="353"/>
      <c r="M64" s="353"/>
      <c r="N64" s="353"/>
      <c r="O64" s="353"/>
      <c r="P64" s="353"/>
      <c r="Q64" s="353"/>
      <c r="R64" s="353"/>
      <c r="S64" s="353"/>
      <c r="T64" s="353"/>
      <c r="U64" s="353"/>
      <c r="V64" s="353"/>
      <c r="W64" s="353"/>
      <c r="X64" s="353"/>
      <c r="Y64" s="353"/>
      <c r="Z64" s="353"/>
      <c r="AA64" s="353"/>
      <c r="AB64" s="353"/>
      <c r="AC64" s="354"/>
      <c r="AD64" s="354"/>
      <c r="AE64" s="326"/>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4"/>
      <c r="BE64" s="2"/>
    </row>
    <row r="65" spans="1:57" ht="15.7" thickBot="1">
      <c r="A65" s="13" t="s">
        <v>117</v>
      </c>
      <c r="B65" s="350"/>
      <c r="C65" s="350"/>
      <c r="D65" s="350"/>
      <c r="E65" s="350"/>
      <c r="F65" s="350">
        <f t="shared" ref="F65:AO65" si="54">F10/B10-1</f>
        <v>-2.8132676057810779E-2</v>
      </c>
      <c r="G65" s="350">
        <f t="shared" si="54"/>
        <v>-3.0564173923547711E-2</v>
      </c>
      <c r="H65" s="350">
        <f t="shared" si="54"/>
        <v>-1.0749731072686841E-2</v>
      </c>
      <c r="I65" s="350">
        <f t="shared" si="54"/>
        <v>2.1225847080996285E-2</v>
      </c>
      <c r="J65" s="350">
        <f t="shared" si="54"/>
        <v>8.4313153000795671E-2</v>
      </c>
      <c r="K65" s="350">
        <f t="shared" si="54"/>
        <v>8.2652502885070867E-2</v>
      </c>
      <c r="L65" s="350">
        <f t="shared" si="54"/>
        <v>5.2272243735751012E-2</v>
      </c>
      <c r="M65" s="350">
        <f t="shared" si="54"/>
        <v>1.8051959393230232E-2</v>
      </c>
      <c r="N65" s="350">
        <f t="shared" si="54"/>
        <v>1.1267518701798318E-2</v>
      </c>
      <c r="O65" s="350">
        <f t="shared" si="54"/>
        <v>2.8497978553907455E-2</v>
      </c>
      <c r="P65" s="350">
        <f t="shared" si="54"/>
        <v>3.9140095502690597E-2</v>
      </c>
      <c r="Q65" s="350">
        <f t="shared" si="54"/>
        <v>1.0193268059392357E-2</v>
      </c>
      <c r="R65" s="365">
        <f t="shared" si="54"/>
        <v>-2.0937347942550977E-2</v>
      </c>
      <c r="S65" s="366">
        <f t="shared" si="54"/>
        <v>-2.5069529718679373E-2</v>
      </c>
      <c r="T65" s="366">
        <f t="shared" si="54"/>
        <v>-5.0867272511316619E-2</v>
      </c>
      <c r="U65" s="366">
        <f t="shared" si="54"/>
        <v>-2.1048277486287681E-2</v>
      </c>
      <c r="V65" s="366">
        <f t="shared" si="54"/>
        <v>-1.2639789405500035E-2</v>
      </c>
      <c r="W65" s="366">
        <f t="shared" si="54"/>
        <v>-2.4508096730401552E-2</v>
      </c>
      <c r="X65" s="366">
        <f t="shared" si="54"/>
        <v>-0.10398974014233353</v>
      </c>
      <c r="Y65" s="366">
        <f t="shared" si="54"/>
        <v>-0.18852208130025216</v>
      </c>
      <c r="Z65" s="366">
        <f t="shared" si="54"/>
        <v>-0.21074311927369971</v>
      </c>
      <c r="AA65" s="366">
        <f t="shared" si="54"/>
        <v>-0.22819425397833493</v>
      </c>
      <c r="AB65" s="366">
        <f t="shared" si="54"/>
        <v>-0.28498495678044156</v>
      </c>
      <c r="AC65" s="366">
        <f t="shared" si="54"/>
        <v>-0.26388806437780188</v>
      </c>
      <c r="AD65" s="366">
        <f t="shared" si="54"/>
        <v>-0.32032162719463708</v>
      </c>
      <c r="AE65" s="366">
        <f t="shared" si="54"/>
        <v>-0.31034482758620685</v>
      </c>
      <c r="AF65" s="367">
        <f t="shared" si="54"/>
        <v>-0.15447154471544711</v>
      </c>
      <c r="AG65" s="367">
        <f t="shared" si="54"/>
        <v>6.0344827586206851E-2</v>
      </c>
      <c r="AH65" s="367">
        <f t="shared" si="54"/>
        <v>0.22857142857142865</v>
      </c>
      <c r="AI65" s="367">
        <f t="shared" si="54"/>
        <v>0.28000000000000003</v>
      </c>
      <c r="AJ65" s="367">
        <f t="shared" si="54"/>
        <v>0.29664741745024914</v>
      </c>
      <c r="AK65" s="367">
        <f t="shared" si="54"/>
        <v>0.25260790722006488</v>
      </c>
      <c r="AL65" s="367">
        <f t="shared" si="54"/>
        <v>0.21556909895237686</v>
      </c>
      <c r="AM65" s="367">
        <f t="shared" si="54"/>
        <v>0.2671224905592926</v>
      </c>
      <c r="AN65" s="367">
        <f t="shared" si="54"/>
        <v>0.23159200458944484</v>
      </c>
      <c r="AO65" s="367">
        <f t="shared" si="54"/>
        <v>-5.750148509342623E-2</v>
      </c>
      <c r="AP65" s="367">
        <f t="shared" ref="AP65:BC65" si="55">AP10/AL10-1</f>
        <v>-6.8057343807358173E-2</v>
      </c>
      <c r="AQ65" s="367">
        <f t="shared" si="55"/>
        <v>-5.3991881861515378E-2</v>
      </c>
      <c r="AR65" s="367">
        <f t="shared" si="55"/>
        <v>-2.1502400587133264E-2</v>
      </c>
      <c r="AS65" s="367">
        <f t="shared" si="55"/>
        <v>0.22755089830039377</v>
      </c>
      <c r="AT65" s="367">
        <f t="shared" si="55"/>
        <v>0.25373487186811716</v>
      </c>
      <c r="AU65" s="367">
        <f t="shared" si="55"/>
        <v>0.23684393148306593</v>
      </c>
      <c r="AV65" s="367">
        <f t="shared" si="55"/>
        <v>0.19035337832935029</v>
      </c>
      <c r="AW65" s="367">
        <f t="shared" si="55"/>
        <v>8.4405920977747906E-2</v>
      </c>
      <c r="AX65" s="367">
        <f t="shared" si="55"/>
        <v>9.0335745232388964E-2</v>
      </c>
      <c r="AY65" s="367">
        <f t="shared" si="55"/>
        <v>6.8684498845557274E-2</v>
      </c>
      <c r="AZ65" s="367">
        <f t="shared" si="55"/>
        <v>7.4682614273999359E-2</v>
      </c>
      <c r="BA65" s="367">
        <f t="shared" si="55"/>
        <v>8.0489282045592914E-2</v>
      </c>
      <c r="BB65" s="367">
        <f t="shared" si="55"/>
        <v>5.4150226039353155E-2</v>
      </c>
      <c r="BC65" s="367">
        <f t="shared" si="55"/>
        <v>0.14872987038833174</v>
      </c>
      <c r="BD65" s="4"/>
      <c r="BE65" s="246"/>
    </row>
    <row r="66" spans="1:57">
      <c r="A66" s="2" t="s">
        <v>600</v>
      </c>
      <c r="B66" s="353"/>
      <c r="C66" s="353"/>
      <c r="D66" s="353"/>
      <c r="E66" s="353"/>
      <c r="F66" s="353"/>
      <c r="G66" s="353">
        <f t="shared" ref="G66:AO66" si="56">G10/F10-1</f>
        <v>-3.9251813160240845E-2</v>
      </c>
      <c r="H66" s="353">
        <f t="shared" si="56"/>
        <v>4.2743829384182197E-2</v>
      </c>
      <c r="I66" s="353">
        <f t="shared" si="56"/>
        <v>4.2686979606212372E-2</v>
      </c>
      <c r="J66" s="353">
        <f t="shared" si="56"/>
        <v>3.8038767817214492E-2</v>
      </c>
      <c r="K66" s="353">
        <f t="shared" si="56"/>
        <v>-4.0723220735849996E-2</v>
      </c>
      <c r="L66" s="353">
        <f t="shared" si="56"/>
        <v>1.3483445578088116E-2</v>
      </c>
      <c r="M66" s="353">
        <f t="shared" si="56"/>
        <v>8.7784116146298885E-3</v>
      </c>
      <c r="N66" s="353">
        <f t="shared" si="56"/>
        <v>3.1121132238122406E-2</v>
      </c>
      <c r="O66" s="353">
        <f t="shared" si="56"/>
        <v>-2.437860397866376E-2</v>
      </c>
      <c r="P66" s="353">
        <f t="shared" si="56"/>
        <v>2.39702035284175E-2</v>
      </c>
      <c r="Q66" s="353">
        <f t="shared" si="56"/>
        <v>-1.9322644956964452E-2</v>
      </c>
      <c r="R66" s="353">
        <f t="shared" si="56"/>
        <v>-6.5440718994957958E-4</v>
      </c>
      <c r="S66" s="353">
        <f t="shared" si="56"/>
        <v>-2.8496261765495468E-2</v>
      </c>
      <c r="T66" s="353">
        <f t="shared" si="56"/>
        <v>-3.125185058963531E-3</v>
      </c>
      <c r="U66" s="353">
        <f t="shared" si="56"/>
        <v>1.1487390693750488E-2</v>
      </c>
      <c r="V66" s="353">
        <f t="shared" si="56"/>
        <v>7.9292495037168731E-3</v>
      </c>
      <c r="W66" s="353">
        <f t="shared" si="56"/>
        <v>-4.0173970477005438E-2</v>
      </c>
      <c r="X66" s="353">
        <f t="shared" si="56"/>
        <v>-8.4349076617580843E-2</v>
      </c>
      <c r="Y66" s="353">
        <f t="shared" si="56"/>
        <v>-8.3939415245546933E-2</v>
      </c>
      <c r="Z66" s="353">
        <f t="shared" si="56"/>
        <v>-1.9671297118251996E-2</v>
      </c>
      <c r="AA66" s="353">
        <f t="shared" si="56"/>
        <v>-6.139653279259405E-2</v>
      </c>
      <c r="AB66" s="353">
        <f t="shared" si="56"/>
        <v>-0.15172413793103445</v>
      </c>
      <c r="AC66" s="353">
        <f t="shared" si="56"/>
        <v>-5.6910569105691033E-2</v>
      </c>
      <c r="AD66" s="353">
        <f t="shared" si="56"/>
        <v>-9.4827586206896575E-2</v>
      </c>
      <c r="AE66" s="353">
        <f t="shared" si="56"/>
        <v>-4.7619047619047672E-2</v>
      </c>
      <c r="AF66" s="354">
        <f t="shared" si="56"/>
        <v>4.0000000000000036E-2</v>
      </c>
      <c r="AG66" s="354">
        <f t="shared" si="56"/>
        <v>0.18269230769230771</v>
      </c>
      <c r="AH66" s="354">
        <f t="shared" si="56"/>
        <v>4.8780487804878092E-2</v>
      </c>
      <c r="AI66" s="354">
        <f t="shared" si="56"/>
        <v>-7.7519379844961378E-3</v>
      </c>
      <c r="AJ66" s="354">
        <f t="shared" si="56"/>
        <v>5.352602667832751E-2</v>
      </c>
      <c r="AK66" s="354">
        <f t="shared" si="56"/>
        <v>0.14252318439570866</v>
      </c>
      <c r="AL66" s="354">
        <f t="shared" si="56"/>
        <v>1.7768724922981649E-2</v>
      </c>
      <c r="AM66" s="354">
        <f t="shared" si="56"/>
        <v>3.4330205232516064E-2</v>
      </c>
      <c r="AN66" s="354">
        <f t="shared" si="56"/>
        <v>2.3984848150873761E-2</v>
      </c>
      <c r="AO66" s="354">
        <f t="shared" si="56"/>
        <v>-0.12566304382736837</v>
      </c>
      <c r="AP66" s="354">
        <f t="shared" ref="AP66:BC66" si="57">AP10/AO10-1</f>
        <v>6.3698498119577618E-3</v>
      </c>
      <c r="AQ66" s="354">
        <f t="shared" si="57"/>
        <v>4.9940964161149459E-2</v>
      </c>
      <c r="AR66" s="354">
        <f t="shared" si="57"/>
        <v>5.9152343980310995E-2</v>
      </c>
      <c r="AS66" s="354">
        <f t="shared" si="57"/>
        <v>9.6878639877052253E-2</v>
      </c>
      <c r="AT66" s="354">
        <f t="shared" si="57"/>
        <v>2.7835975235607435E-2</v>
      </c>
      <c r="AU66" s="354">
        <f t="shared" si="57"/>
        <v>3.5795636762666838E-2</v>
      </c>
      <c r="AV66" s="354">
        <f t="shared" si="57"/>
        <v>1.934087133423823E-2</v>
      </c>
      <c r="AW66" s="354">
        <f t="shared" si="57"/>
        <v>-7.4909406642564846E-4</v>
      </c>
      <c r="AX66" s="354">
        <f t="shared" si="57"/>
        <v>3.3456459758828494E-2</v>
      </c>
      <c r="AY66" s="354">
        <f t="shared" si="57"/>
        <v>1.5227415794020205E-2</v>
      </c>
      <c r="AZ66" s="354">
        <f t="shared" si="57"/>
        <v>2.5062039942743697E-2</v>
      </c>
      <c r="BA66" s="354">
        <f t="shared" si="57"/>
        <v>4.6500051226312511E-3</v>
      </c>
      <c r="BB66" s="354">
        <f t="shared" si="57"/>
        <v>8.2639215023969648E-3</v>
      </c>
      <c r="BC66" s="354">
        <f t="shared" si="57"/>
        <v>0.10631485812175767</v>
      </c>
      <c r="BD66" s="4"/>
      <c r="BE66" s="246"/>
    </row>
    <row r="67" spans="1:57">
      <c r="A67" s="9"/>
      <c r="B67" s="357"/>
      <c r="C67" s="357"/>
      <c r="D67" s="357"/>
      <c r="E67" s="357"/>
      <c r="F67" s="357"/>
      <c r="G67" s="357"/>
      <c r="H67" s="357"/>
      <c r="I67" s="357"/>
      <c r="J67" s="357"/>
      <c r="K67" s="357"/>
      <c r="L67" s="357"/>
      <c r="M67" s="357"/>
      <c r="N67" s="357"/>
      <c r="O67" s="357"/>
      <c r="P67" s="357"/>
      <c r="Q67" s="357"/>
      <c r="R67" s="357"/>
      <c r="S67" s="357"/>
      <c r="T67" s="357"/>
      <c r="U67" s="357"/>
      <c r="V67" s="357"/>
      <c r="W67" s="357"/>
      <c r="X67" s="357"/>
      <c r="Y67" s="357"/>
      <c r="Z67" s="357"/>
      <c r="AA67" s="357"/>
      <c r="AB67" s="357"/>
      <c r="AC67" s="357"/>
      <c r="AD67" s="357"/>
      <c r="AE67" s="358"/>
      <c r="AF67" s="358"/>
      <c r="AG67" s="358"/>
      <c r="AH67" s="358"/>
      <c r="AI67" s="358"/>
      <c r="AJ67" s="358"/>
      <c r="AK67" s="358"/>
      <c r="AL67" s="358"/>
      <c r="AM67" s="358"/>
      <c r="AN67" s="358"/>
      <c r="AO67" s="358"/>
      <c r="AP67" s="358">
        <f t="shared" ref="AP67:AQ67" si="58">AP12/AL12-1</f>
        <v>5.9757975237545446E-2</v>
      </c>
      <c r="AQ67" s="358">
        <f t="shared" si="58"/>
        <v>7.1334701272292467E-2</v>
      </c>
      <c r="AR67" s="358">
        <f t="shared" ref="AR67:BC67" si="59">AR12/AN12-1</f>
        <v>0.11050523959535941</v>
      </c>
      <c r="AS67" s="358">
        <f t="shared" si="59"/>
        <v>0.22755089830039377</v>
      </c>
      <c r="AT67" s="358">
        <f t="shared" si="59"/>
        <v>0.25373487186811716</v>
      </c>
      <c r="AU67" s="358">
        <f t="shared" si="59"/>
        <v>0.23684393148306593</v>
      </c>
      <c r="AV67" s="358">
        <f t="shared" si="59"/>
        <v>0.19035337832935029</v>
      </c>
      <c r="AW67" s="358">
        <f t="shared" si="59"/>
        <v>8.4405920977747906E-2</v>
      </c>
      <c r="AX67" s="358">
        <f t="shared" si="59"/>
        <v>9.0335745232388964E-2</v>
      </c>
      <c r="AY67" s="358">
        <f t="shared" si="59"/>
        <v>6.8684498845557274E-2</v>
      </c>
      <c r="AZ67" s="358">
        <f t="shared" si="59"/>
        <v>7.4682614273999359E-2</v>
      </c>
      <c r="BA67" s="358">
        <f t="shared" si="59"/>
        <v>8.0489282045592914E-2</v>
      </c>
      <c r="BB67" s="358">
        <f t="shared" si="59"/>
        <v>5.4150226039353155E-2</v>
      </c>
      <c r="BC67" s="358">
        <f t="shared" si="59"/>
        <v>0.14872987038833174</v>
      </c>
      <c r="BD67" s="11"/>
      <c r="BE67" s="9"/>
    </row>
    <row r="68" spans="1:57" s="27" customFormat="1" ht="15.7" thickBot="1">
      <c r="A68" s="510" t="s">
        <v>22</v>
      </c>
      <c r="B68" s="530" t="str">
        <f t="shared" ref="B68:Y68" si="60">B45</f>
        <v>Q1 12</v>
      </c>
      <c r="C68" s="530" t="str">
        <f t="shared" si="60"/>
        <v>Q2 12</v>
      </c>
      <c r="D68" s="530" t="str">
        <f t="shared" si="60"/>
        <v>Q3 12</v>
      </c>
      <c r="E68" s="530" t="str">
        <f t="shared" si="60"/>
        <v>4Q12</v>
      </c>
      <c r="F68" s="530" t="str">
        <f t="shared" si="60"/>
        <v>1Q13</v>
      </c>
      <c r="G68" s="530" t="str">
        <f t="shared" si="60"/>
        <v>2Q13</v>
      </c>
      <c r="H68" s="530" t="str">
        <f t="shared" si="60"/>
        <v>3Q13</v>
      </c>
      <c r="I68" s="530" t="str">
        <f t="shared" si="60"/>
        <v>4Q13</v>
      </c>
      <c r="J68" s="530" t="str">
        <f t="shared" si="60"/>
        <v>1Q14</v>
      </c>
      <c r="K68" s="530" t="str">
        <f t="shared" si="60"/>
        <v>2Q14</v>
      </c>
      <c r="L68" s="530" t="str">
        <f t="shared" si="60"/>
        <v>3Q14</v>
      </c>
      <c r="M68" s="530" t="str">
        <f t="shared" si="60"/>
        <v>4Q14</v>
      </c>
      <c r="N68" s="530" t="str">
        <f t="shared" si="60"/>
        <v>1Q15</v>
      </c>
      <c r="O68" s="530" t="str">
        <f t="shared" si="60"/>
        <v>2Q15</v>
      </c>
      <c r="P68" s="530" t="str">
        <f t="shared" si="60"/>
        <v>3Q15</v>
      </c>
      <c r="Q68" s="530" t="str">
        <f t="shared" si="60"/>
        <v>4Q15</v>
      </c>
      <c r="R68" s="530" t="str">
        <f t="shared" si="60"/>
        <v>1Q16</v>
      </c>
      <c r="S68" s="530" t="str">
        <f t="shared" si="60"/>
        <v>2Q16</v>
      </c>
      <c r="T68" s="530" t="str">
        <f t="shared" si="60"/>
        <v>3Q16</v>
      </c>
      <c r="U68" s="530" t="str">
        <f t="shared" si="60"/>
        <v>4Q16</v>
      </c>
      <c r="V68" s="530" t="str">
        <f t="shared" si="60"/>
        <v>1Q17</v>
      </c>
      <c r="W68" s="530" t="str">
        <f t="shared" si="60"/>
        <v>2Q17</v>
      </c>
      <c r="X68" s="530" t="str">
        <f t="shared" si="60"/>
        <v>3Q17</v>
      </c>
      <c r="Y68" s="530" t="str">
        <f t="shared" si="60"/>
        <v>4Q17</v>
      </c>
      <c r="Z68" s="530" t="str">
        <f t="shared" ref="Z68:AE68" si="61">Z45</f>
        <v>1Q18</v>
      </c>
      <c r="AA68" s="530" t="str">
        <f t="shared" si="61"/>
        <v>2Q18</v>
      </c>
      <c r="AB68" s="530" t="str">
        <f t="shared" si="61"/>
        <v>3Q18</v>
      </c>
      <c r="AC68" s="530" t="str">
        <f t="shared" si="61"/>
        <v>4Q18</v>
      </c>
      <c r="AD68" s="530" t="str">
        <f t="shared" si="61"/>
        <v>1Q19</v>
      </c>
      <c r="AE68" s="530" t="str">
        <f t="shared" si="61"/>
        <v>2Q19</v>
      </c>
      <c r="AF68" s="530" t="str">
        <f t="shared" ref="AF68:AG68" si="62">AF45</f>
        <v>3Q19</v>
      </c>
      <c r="AG68" s="530" t="str">
        <f t="shared" si="62"/>
        <v>4Q19</v>
      </c>
      <c r="AH68" s="530" t="str">
        <f t="shared" ref="AH68:AI68" si="63">AH45</f>
        <v>1Q20</v>
      </c>
      <c r="AI68" s="530" t="str">
        <f t="shared" si="63"/>
        <v>2Q20</v>
      </c>
      <c r="AJ68" s="530" t="str">
        <f t="shared" ref="AJ68:AK68" si="64">AJ45</f>
        <v>3Q20</v>
      </c>
      <c r="AK68" s="530" t="str">
        <f t="shared" si="64"/>
        <v>4Q20</v>
      </c>
      <c r="AL68" s="530" t="str">
        <f t="shared" ref="AL68:AM68" si="65">AL45</f>
        <v>1Q21</v>
      </c>
      <c r="AM68" s="530" t="str">
        <f t="shared" si="65"/>
        <v>2Q21</v>
      </c>
      <c r="AN68" s="530" t="str">
        <f t="shared" ref="AN68:AO68" si="66">AN45</f>
        <v>3Q21</v>
      </c>
      <c r="AO68" s="530" t="str">
        <f t="shared" si="66"/>
        <v>4Q21</v>
      </c>
      <c r="AP68" s="530" t="str">
        <f t="shared" ref="AP68:AQ68" si="67">AP45</f>
        <v>1Q22</v>
      </c>
      <c r="AQ68" s="530" t="str">
        <f t="shared" si="67"/>
        <v>2Q22</v>
      </c>
      <c r="AR68" s="530" t="str">
        <f t="shared" ref="AR68:AS68" si="68">AR45</f>
        <v>3Q22</v>
      </c>
      <c r="AS68" s="530" t="str">
        <f t="shared" si="68"/>
        <v>4Q22</v>
      </c>
      <c r="AT68" s="530" t="str">
        <f t="shared" ref="AT68:AU68" si="69">AT45</f>
        <v>1Q23</v>
      </c>
      <c r="AU68" s="530" t="str">
        <f t="shared" si="69"/>
        <v>2Q23</v>
      </c>
      <c r="AV68" s="530" t="str">
        <f t="shared" ref="AV68:AW68" si="70">AV45</f>
        <v>3Q23</v>
      </c>
      <c r="AW68" s="530" t="str">
        <f t="shared" si="70"/>
        <v>4Q23</v>
      </c>
      <c r="AX68" s="530" t="str">
        <f t="shared" ref="AX68:AY68" si="71">AX45</f>
        <v>1Q24</v>
      </c>
      <c r="AY68" s="530" t="str">
        <f t="shared" si="71"/>
        <v>2Q24</v>
      </c>
      <c r="AZ68" s="530" t="str">
        <f t="shared" ref="AZ68:BA68" si="72">AZ45</f>
        <v>3Q24</v>
      </c>
      <c r="BA68" s="530" t="str">
        <f t="shared" si="72"/>
        <v>4Q24</v>
      </c>
      <c r="BB68" s="530" t="str">
        <f t="shared" ref="BB68:BC68" si="73">BB45</f>
        <v>1Q25</v>
      </c>
      <c r="BC68" s="530" t="str">
        <f t="shared" si="73"/>
        <v>2Q25</v>
      </c>
      <c r="BD68" s="527"/>
      <c r="BE68" s="510"/>
    </row>
    <row r="69" spans="1:57" ht="15.7" thickBot="1">
      <c r="A69" s="13" t="s">
        <v>115</v>
      </c>
      <c r="B69" s="368">
        <f>B4</f>
        <v>169187</v>
      </c>
      <c r="C69" s="368">
        <f t="shared" ref="C69:AO69" si="74">AVERAGE(C4,B4)</f>
        <v>170985</v>
      </c>
      <c r="D69" s="368">
        <f t="shared" si="74"/>
        <v>174218</v>
      </c>
      <c r="E69" s="368">
        <f t="shared" si="74"/>
        <v>178466.14782698412</v>
      </c>
      <c r="F69" s="368">
        <f t="shared" si="74"/>
        <v>184290.76282698411</v>
      </c>
      <c r="G69" s="368">
        <f t="shared" si="74"/>
        <v>186612.35950000002</v>
      </c>
      <c r="H69" s="368">
        <f t="shared" si="74"/>
        <v>183922.296</v>
      </c>
      <c r="I69" s="368">
        <f t="shared" si="74"/>
        <v>185071.24300000002</v>
      </c>
      <c r="J69" s="368">
        <f t="shared" si="74"/>
        <v>189584.41749999998</v>
      </c>
      <c r="K69" s="368">
        <f t="shared" si="74"/>
        <v>192202.677</v>
      </c>
      <c r="L69" s="368">
        <f t="shared" si="74"/>
        <v>195985.1765</v>
      </c>
      <c r="M69" s="368">
        <f t="shared" si="74"/>
        <v>202016.31699999998</v>
      </c>
      <c r="N69" s="368">
        <f t="shared" si="74"/>
        <v>207465.11099999998</v>
      </c>
      <c r="O69" s="368">
        <f t="shared" si="74"/>
        <v>210581.73599999998</v>
      </c>
      <c r="P69" s="368">
        <f t="shared" si="74"/>
        <v>214483.73749999999</v>
      </c>
      <c r="Q69" s="368">
        <f t="shared" si="74"/>
        <v>221616.22749999998</v>
      </c>
      <c r="R69" s="369">
        <f t="shared" si="74"/>
        <v>228339.53950000001</v>
      </c>
      <c r="S69" s="370">
        <f t="shared" si="74"/>
        <v>232936.774</v>
      </c>
      <c r="T69" s="370">
        <f t="shared" si="74"/>
        <v>239250.64300000001</v>
      </c>
      <c r="U69" s="370">
        <f t="shared" si="74"/>
        <v>247263.33350000001</v>
      </c>
      <c r="V69" s="370">
        <f t="shared" si="74"/>
        <v>253485.9565</v>
      </c>
      <c r="W69" s="370">
        <f t="shared" si="74"/>
        <v>257837.658</v>
      </c>
      <c r="X69" s="370">
        <f t="shared" si="74"/>
        <v>262896.63549999997</v>
      </c>
      <c r="Y69" s="370">
        <f t="shared" si="74"/>
        <v>269750.49399999995</v>
      </c>
      <c r="Z69" s="370">
        <f t="shared" si="74"/>
        <v>277147.84999999998</v>
      </c>
      <c r="AA69" s="370">
        <f t="shared" si="74"/>
        <v>281347.15850000002</v>
      </c>
      <c r="AB69" s="370">
        <f t="shared" si="74"/>
        <v>286080</v>
      </c>
      <c r="AC69" s="370">
        <f t="shared" si="74"/>
        <v>297152.5</v>
      </c>
      <c r="AD69" s="370">
        <f t="shared" si="74"/>
        <v>324378</v>
      </c>
      <c r="AE69" s="370">
        <f t="shared" si="74"/>
        <v>338664</v>
      </c>
      <c r="AF69" s="371">
        <f t="shared" si="74"/>
        <v>308494.15250000003</v>
      </c>
      <c r="AG69" s="371">
        <f t="shared" si="74"/>
        <v>283432.15250000003</v>
      </c>
      <c r="AH69" s="371">
        <f t="shared" si="74"/>
        <v>279728.5</v>
      </c>
      <c r="AI69" s="371">
        <f t="shared" si="74"/>
        <v>278123.5</v>
      </c>
      <c r="AJ69" s="371">
        <f t="shared" si="74"/>
        <v>281233.12650000001</v>
      </c>
      <c r="AK69" s="371">
        <f t="shared" si="74"/>
        <v>283351.71849999996</v>
      </c>
      <c r="AL69" s="371">
        <f t="shared" si="74"/>
        <v>281768.092</v>
      </c>
      <c r="AM69" s="371">
        <f t="shared" si="74"/>
        <v>286805.61</v>
      </c>
      <c r="AN69" s="371">
        <f t="shared" si="74"/>
        <v>300845.11</v>
      </c>
      <c r="AO69" s="371">
        <f t="shared" si="74"/>
        <v>314660.755</v>
      </c>
      <c r="AP69" s="371">
        <f t="shared" ref="AP69:BC69" si="75">AVERAGE(AP4,AO4)</f>
        <v>321305.81650000002</v>
      </c>
      <c r="AQ69" s="371">
        <f t="shared" si="75"/>
        <v>322357.06150000001</v>
      </c>
      <c r="AR69" s="371">
        <f t="shared" si="75"/>
        <v>323196.7965</v>
      </c>
      <c r="AS69" s="371">
        <f t="shared" si="75"/>
        <v>324480.2965</v>
      </c>
      <c r="AT69" s="371">
        <f t="shared" si="75"/>
        <v>326675.37</v>
      </c>
      <c r="AU69" s="371">
        <f t="shared" si="75"/>
        <v>327552.84999999998</v>
      </c>
      <c r="AV69" s="371">
        <f t="shared" si="75"/>
        <v>330020.79000000004</v>
      </c>
      <c r="AW69" s="371">
        <f t="shared" si="75"/>
        <v>333827.951</v>
      </c>
      <c r="AX69" s="371">
        <f t="shared" si="75"/>
        <v>336987.33350000007</v>
      </c>
      <c r="AY69" s="371">
        <f t="shared" si="75"/>
        <v>340433.87349999999</v>
      </c>
      <c r="AZ69" s="371">
        <f t="shared" si="75"/>
        <v>343937.78400000004</v>
      </c>
      <c r="BA69" s="371">
        <f t="shared" si="75"/>
        <v>348911.50900000002</v>
      </c>
      <c r="BB69" s="371">
        <f t="shared" si="75"/>
        <v>353383.97600000002</v>
      </c>
      <c r="BC69" s="371">
        <f t="shared" si="75"/>
        <v>353077.69200000004</v>
      </c>
      <c r="BD69" s="5"/>
      <c r="BE69" s="2"/>
    </row>
    <row r="70" spans="1:57">
      <c r="A70" s="2" t="s">
        <v>116</v>
      </c>
      <c r="B70" s="353"/>
      <c r="C70" s="353"/>
      <c r="D70" s="353"/>
      <c r="E70" s="353"/>
      <c r="F70" s="353">
        <f t="shared" ref="F70:AO70" si="76">F4/B4-1</f>
        <v>0.10707223368225693</v>
      </c>
      <c r="G70" s="353">
        <f t="shared" si="76"/>
        <v>7.6046190886834841E-2</v>
      </c>
      <c r="H70" s="353">
        <f t="shared" si="76"/>
        <v>3.5690270021007331E-2</v>
      </c>
      <c r="I70" s="353">
        <f t="shared" si="76"/>
        <v>3.8289465550887414E-2</v>
      </c>
      <c r="J70" s="353">
        <f t="shared" si="76"/>
        <v>1.9467050659247143E-2</v>
      </c>
      <c r="K70" s="353">
        <f t="shared" si="76"/>
        <v>4.0524484372624681E-2</v>
      </c>
      <c r="L70" s="353">
        <f t="shared" si="76"/>
        <v>9.1200286971176769E-2</v>
      </c>
      <c r="M70" s="353">
        <f t="shared" si="76"/>
        <v>9.1907155454040268E-2</v>
      </c>
      <c r="N70" s="353">
        <f t="shared" si="76"/>
        <v>9.6688854015951842E-2</v>
      </c>
      <c r="O70" s="353">
        <f t="shared" si="76"/>
        <v>9.457161161404315E-2</v>
      </c>
      <c r="P70" s="353">
        <f t="shared" si="76"/>
        <v>9.4208180381690987E-2</v>
      </c>
      <c r="Q70" s="353">
        <f t="shared" si="76"/>
        <v>9.9738767451211574E-2</v>
      </c>
      <c r="R70" s="353">
        <f t="shared" si="76"/>
        <v>0.10147806486935007</v>
      </c>
      <c r="S70" s="353">
        <f t="shared" si="76"/>
        <v>0.11078715208906242</v>
      </c>
      <c r="T70" s="353">
        <f t="shared" si="76"/>
        <v>0.12003939395688823</v>
      </c>
      <c r="U70" s="353">
        <f t="shared" si="76"/>
        <v>0.11158365926434177</v>
      </c>
      <c r="V70" s="353">
        <f t="shared" si="76"/>
        <v>0.10870026404820998</v>
      </c>
      <c r="W70" s="353">
        <f t="shared" si="76"/>
        <v>0.105134076517444</v>
      </c>
      <c r="X70" s="353">
        <f t="shared" si="76"/>
        <v>9.2742226455534205E-2</v>
      </c>
      <c r="Y70" s="353">
        <f t="shared" si="76"/>
        <v>8.9203009666603439E-2</v>
      </c>
      <c r="Z70" s="353">
        <f t="shared" si="76"/>
        <v>9.7416079518360066E-2</v>
      </c>
      <c r="AA70" s="353">
        <f t="shared" si="76"/>
        <v>8.50437691807715E-2</v>
      </c>
      <c r="AB70" s="354">
        <f t="shared" si="76"/>
        <v>9.1255058418554968E-2</v>
      </c>
      <c r="AC70" s="354">
        <f t="shared" si="76"/>
        <v>0.11161628899521037</v>
      </c>
      <c r="AD70" s="354">
        <f t="shared" si="76"/>
        <v>0.22774735095721588</v>
      </c>
      <c r="AE70" s="354">
        <f t="shared" si="76"/>
        <v>0.17981754813913997</v>
      </c>
      <c r="AF70" s="327">
        <f t="shared" si="76"/>
        <v>-2.0297935631977682E-2</v>
      </c>
      <c r="AG70" s="327">
        <f t="shared" si="76"/>
        <v>-7.0849989480328168E-2</v>
      </c>
      <c r="AH70" s="327">
        <f t="shared" si="76"/>
        <v>-0.19661659372424278</v>
      </c>
      <c r="AI70" s="327">
        <f t="shared" si="76"/>
        <v>-0.16027575098267843</v>
      </c>
      <c r="AJ70" s="327">
        <f t="shared" si="76"/>
        <v>-4.1799803151953974E-3</v>
      </c>
      <c r="AK70" s="327">
        <f t="shared" si="76"/>
        <v>3.6342485140108405E-3</v>
      </c>
      <c r="AL70" s="327">
        <f t="shared" si="76"/>
        <v>1.102533442671505E-2</v>
      </c>
      <c r="AM70" s="327">
        <f t="shared" si="76"/>
        <v>5.1219339369430461E-2</v>
      </c>
      <c r="AN70" s="327">
        <f t="shared" si="76"/>
        <v>8.8016099478253285E-2</v>
      </c>
      <c r="AO70" s="327">
        <f t="shared" si="76"/>
        <v>0.13292452608829075</v>
      </c>
      <c r="AP70" s="327">
        <f t="shared" ref="AP70:BC70" si="77">AP4/AL4-1</f>
        <v>0.14781602464009946</v>
      </c>
      <c r="AQ70" s="327">
        <f t="shared" si="77"/>
        <v>0.10122405965339287</v>
      </c>
      <c r="AR70" s="327">
        <f t="shared" si="77"/>
        <v>4.8610781690415328E-2</v>
      </c>
      <c r="AS70" s="327">
        <f t="shared" si="77"/>
        <v>1.4529791207744447E-2</v>
      </c>
      <c r="AT70" s="327">
        <f t="shared" si="77"/>
        <v>1.8894447966874672E-2</v>
      </c>
      <c r="AU70" s="327">
        <f t="shared" si="77"/>
        <v>1.3360991232734598E-2</v>
      </c>
      <c r="AV70" s="327">
        <f t="shared" si="77"/>
        <v>2.8880516893980523E-2</v>
      </c>
      <c r="AW70" s="327">
        <f t="shared" si="77"/>
        <v>2.8736338458424493E-2</v>
      </c>
      <c r="AX70" s="327">
        <f t="shared" si="77"/>
        <v>3.4385514378608928E-2</v>
      </c>
      <c r="AY70" s="327">
        <f t="shared" si="77"/>
        <v>4.4257145468507453E-2</v>
      </c>
      <c r="AZ70" s="327">
        <f t="shared" si="77"/>
        <v>4.0110886102192378E-2</v>
      </c>
      <c r="BA70" s="327">
        <f t="shared" si="77"/>
        <v>5.0208447644144227E-2</v>
      </c>
      <c r="BB70" s="327">
        <f t="shared" si="77"/>
        <v>4.7119100369050093E-2</v>
      </c>
      <c r="BC70" s="327">
        <f t="shared" si="77"/>
        <v>2.7270627446379425E-2</v>
      </c>
      <c r="BD70" s="4"/>
      <c r="BE70" s="2"/>
    </row>
    <row r="71" spans="1:57">
      <c r="A71" s="2"/>
      <c r="B71" s="353"/>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4"/>
      <c r="AC71" s="354"/>
      <c r="AD71" s="354"/>
      <c r="AE71" s="354"/>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4"/>
      <c r="BE71" s="2"/>
    </row>
    <row r="72" spans="1:57">
      <c r="A72" s="2"/>
      <c r="B72" s="353"/>
      <c r="C72" s="353"/>
      <c r="D72" s="353"/>
      <c r="E72" s="353"/>
      <c r="F72" s="353"/>
      <c r="G72" s="353"/>
      <c r="H72" s="353"/>
      <c r="I72" s="353"/>
      <c r="J72" s="353"/>
      <c r="K72" s="353"/>
      <c r="L72" s="353"/>
      <c r="M72" s="353"/>
      <c r="N72" s="353"/>
      <c r="O72" s="353"/>
      <c r="P72" s="353"/>
      <c r="Q72" s="353"/>
      <c r="R72" s="353"/>
      <c r="S72" s="353"/>
      <c r="T72" s="353"/>
      <c r="U72" s="353"/>
      <c r="V72" s="353"/>
      <c r="W72" s="353"/>
      <c r="X72" s="353"/>
      <c r="Y72" s="353"/>
      <c r="Z72" s="353"/>
      <c r="AA72" s="353"/>
      <c r="AB72" s="354"/>
      <c r="AC72" s="354"/>
      <c r="AD72" s="354"/>
      <c r="AE72" s="354"/>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4"/>
      <c r="BE72" s="2"/>
    </row>
    <row r="73" spans="1:57">
      <c r="A73" s="2" t="s">
        <v>120</v>
      </c>
      <c r="B73" s="353"/>
      <c r="C73" s="353"/>
      <c r="D73" s="353"/>
      <c r="E73" s="353"/>
      <c r="F73" s="353">
        <f t="shared" ref="F73:U76" si="78">F22/B22-1</f>
        <v>8.1983530197048626E-2</v>
      </c>
      <c r="G73" s="353">
        <f t="shared" si="78"/>
        <v>7.9474733436333711E-2</v>
      </c>
      <c r="H73" s="353">
        <f t="shared" si="78"/>
        <v>9.96465165220215E-2</v>
      </c>
      <c r="I73" s="353">
        <f t="shared" si="78"/>
        <v>9.888208314596092E-2</v>
      </c>
      <c r="J73" s="353">
        <f t="shared" si="78"/>
        <v>7.9561417250925803E-2</v>
      </c>
      <c r="K73" s="353">
        <f t="shared" si="78"/>
        <v>7.2996954052408469E-2</v>
      </c>
      <c r="L73" s="353">
        <f t="shared" si="78"/>
        <v>5.9035178566198887E-2</v>
      </c>
      <c r="M73" s="353">
        <f t="shared" si="78"/>
        <v>4.6217680624348612E-2</v>
      </c>
      <c r="N73" s="353">
        <f t="shared" si="78"/>
        <v>4.8173853242350573E-2</v>
      </c>
      <c r="O73" s="353">
        <f t="shared" si="78"/>
        <v>5.0067826768572798E-2</v>
      </c>
      <c r="P73" s="353">
        <f t="shared" si="78"/>
        <v>4.8837781766247979E-2</v>
      </c>
      <c r="Q73" s="353">
        <f t="shared" si="78"/>
        <v>4.9182507675137543E-2</v>
      </c>
      <c r="R73" s="372">
        <f t="shared" si="78"/>
        <v>7.3756007369845333E-2</v>
      </c>
      <c r="S73" s="373">
        <f t="shared" si="78"/>
        <v>6.9088455023614825E-2</v>
      </c>
      <c r="T73" s="373">
        <f t="shared" si="78"/>
        <v>8.5886279030234824E-2</v>
      </c>
      <c r="U73" s="373">
        <f t="shared" si="78"/>
        <v>0.10839431556903234</v>
      </c>
      <c r="V73" s="373">
        <f t="shared" ref="V73:AC73" si="79">V22/R22-1</f>
        <v>8.2630606949492869E-2</v>
      </c>
      <c r="W73" s="373">
        <f t="shared" si="79"/>
        <v>0.11081501248067682</v>
      </c>
      <c r="X73" s="373">
        <f t="shared" si="79"/>
        <v>0.13687957286789376</v>
      </c>
      <c r="Y73" s="373">
        <f t="shared" si="79"/>
        <v>0.23782649720473503</v>
      </c>
      <c r="Z73" s="373">
        <f t="shared" si="79"/>
        <v>0.34011969184097945</v>
      </c>
      <c r="AA73" s="373">
        <f t="shared" si="79"/>
        <v>0.39482331120330638</v>
      </c>
      <c r="AB73" s="373">
        <f t="shared" si="79"/>
        <v>0.49764088707494114</v>
      </c>
      <c r="AC73" s="373">
        <f t="shared" si="79"/>
        <v>0.55456710660466135</v>
      </c>
      <c r="AD73" s="373">
        <f t="shared" ref="AD73:AM73" si="80">AD22/Z22-1</f>
        <v>0.62164627241402282</v>
      </c>
      <c r="AE73" s="373">
        <f t="shared" si="80"/>
        <v>0.58543645366846464</v>
      </c>
      <c r="AF73" s="374">
        <f t="shared" si="80"/>
        <v>0.42126542986025428</v>
      </c>
      <c r="AG73" s="374">
        <f t="shared" si="80"/>
        <v>0.23374367566477261</v>
      </c>
      <c r="AH73" s="374">
        <f t="shared" si="80"/>
        <v>7.7342474064888256E-2</v>
      </c>
      <c r="AI73" s="374">
        <f t="shared" si="80"/>
        <v>3.4024627641792815E-2</v>
      </c>
      <c r="AJ73" s="374">
        <f t="shared" si="80"/>
        <v>7.9694297277874915E-2</v>
      </c>
      <c r="AK73" s="374">
        <f t="shared" si="80"/>
        <v>0.12406257453186398</v>
      </c>
      <c r="AL73" s="374">
        <f t="shared" si="80"/>
        <v>0.11278889994460295</v>
      </c>
      <c r="AM73" s="374">
        <f t="shared" si="80"/>
        <v>0.20123297266975704</v>
      </c>
      <c r="AN73" s="374">
        <f t="shared" ref="AN73:AS73" si="81">AN22/AJ22-1</f>
        <v>0.21875758966885206</v>
      </c>
      <c r="AO73" s="374">
        <f t="shared" si="81"/>
        <v>0.21279129770628846</v>
      </c>
      <c r="AP73" s="374">
        <f t="shared" si="81"/>
        <v>0.22190556375147685</v>
      </c>
      <c r="AQ73" s="374">
        <f t="shared" si="81"/>
        <v>0.1853515465885156</v>
      </c>
      <c r="AR73" s="374">
        <f t="shared" si="81"/>
        <v>0.11340673497305165</v>
      </c>
      <c r="AS73" s="374">
        <f t="shared" si="81"/>
        <v>5.4497343313948399E-2</v>
      </c>
      <c r="AT73" s="374">
        <f t="shared" ref="AT73:BC73" si="82">AT22/AP22-1</f>
        <v>7.6524208700392338E-2</v>
      </c>
      <c r="AU73" s="374">
        <f t="shared" si="82"/>
        <v>4.1743773528571282E-2</v>
      </c>
      <c r="AV73" s="374">
        <f t="shared" si="82"/>
        <v>5.0638434947916533E-2</v>
      </c>
      <c r="AW73" s="374">
        <f t="shared" si="82"/>
        <v>6.96663661102499E-2</v>
      </c>
      <c r="AX73" s="374">
        <f t="shared" si="82"/>
        <v>6.4721423306039139E-2</v>
      </c>
      <c r="AY73" s="374">
        <f t="shared" si="82"/>
        <v>7.9681874071258152E-2</v>
      </c>
      <c r="AZ73" s="374">
        <f t="shared" si="82"/>
        <v>7.289682838198952E-2</v>
      </c>
      <c r="BA73" s="374">
        <f t="shared" si="82"/>
        <v>7.5795906825530945E-2</v>
      </c>
      <c r="BB73" s="374">
        <f t="shared" si="82"/>
        <v>4.0291991350281497E-2</v>
      </c>
      <c r="BC73" s="374">
        <f t="shared" si="82"/>
        <v>4.5378335444719031E-2</v>
      </c>
      <c r="BD73" s="4"/>
      <c r="BE73" s="2"/>
    </row>
    <row r="74" spans="1:57">
      <c r="A74" s="2" t="s">
        <v>121</v>
      </c>
      <c r="B74" s="353"/>
      <c r="C74" s="353"/>
      <c r="D74" s="353"/>
      <c r="E74" s="353"/>
      <c r="F74" s="353">
        <f t="shared" si="78"/>
        <v>-4.065425391447175E-2</v>
      </c>
      <c r="G74" s="353">
        <f t="shared" si="78"/>
        <v>-3.5338478089803171E-2</v>
      </c>
      <c r="H74" s="353">
        <f t="shared" si="78"/>
        <v>-2.6030308504907618E-2</v>
      </c>
      <c r="I74" s="353">
        <f t="shared" si="78"/>
        <v>6.7733370599774023E-3</v>
      </c>
      <c r="J74" s="353">
        <f t="shared" si="78"/>
        <v>7.7835033545688548E-2</v>
      </c>
      <c r="K74" s="353">
        <f t="shared" si="78"/>
        <v>8.8012958578557177E-2</v>
      </c>
      <c r="L74" s="353">
        <f t="shared" si="78"/>
        <v>5.7006684670941388E-2</v>
      </c>
      <c r="M74" s="353">
        <f t="shared" si="78"/>
        <v>1.8553461568350249E-2</v>
      </c>
      <c r="N74" s="353">
        <f t="shared" si="78"/>
        <v>-4.1440224661555281E-3</v>
      </c>
      <c r="O74" s="353">
        <f t="shared" si="78"/>
        <v>-1.798373027308664E-2</v>
      </c>
      <c r="P74" s="353">
        <f t="shared" si="78"/>
        <v>-3.074955277527458E-2</v>
      </c>
      <c r="Q74" s="353">
        <f t="shared" si="78"/>
        <v>-6.7362232657105281E-2</v>
      </c>
      <c r="R74" s="353">
        <f t="shared" si="78"/>
        <v>-0.10687553902416158</v>
      </c>
      <c r="S74" s="353">
        <f t="shared" si="78"/>
        <v>-0.1132022588941658</v>
      </c>
      <c r="T74" s="353">
        <f t="shared" si="78"/>
        <v>-0.1284257164926017</v>
      </c>
      <c r="U74" s="353">
        <f t="shared" si="78"/>
        <v>-8.8070196857933158E-2</v>
      </c>
      <c r="V74" s="353">
        <f t="shared" ref="V74:Z76" si="83">V23/R23-1</f>
        <v>-6.315722125586487E-2</v>
      </c>
      <c r="W74" s="354">
        <f t="shared" si="83"/>
        <v>-5.9052597744957303E-2</v>
      </c>
      <c r="X74" s="354">
        <f t="shared" si="83"/>
        <v>-9.7709276103669085E-2</v>
      </c>
      <c r="Y74" s="354">
        <f t="shared" si="83"/>
        <v>-0.17201707926933885</v>
      </c>
      <c r="Z74" s="354">
        <f t="shared" si="83"/>
        <v>-0.19682208691077741</v>
      </c>
      <c r="AA74" s="360"/>
      <c r="AB74" s="360"/>
      <c r="AC74" s="360"/>
      <c r="AD74" s="360"/>
      <c r="AE74" s="360"/>
      <c r="AF74" s="360"/>
      <c r="AG74" s="360"/>
      <c r="AH74" s="360"/>
      <c r="AI74" s="360"/>
      <c r="AJ74" s="360"/>
      <c r="AK74" s="360"/>
      <c r="AL74" s="360"/>
      <c r="AM74" s="360"/>
      <c r="AN74" s="360"/>
      <c r="AO74" s="360"/>
      <c r="AP74" s="360"/>
      <c r="AQ74" s="360"/>
      <c r="AR74" s="360"/>
      <c r="AS74" s="360"/>
      <c r="AT74" s="360"/>
      <c r="AU74" s="360"/>
      <c r="AV74" s="360"/>
      <c r="AW74" s="360"/>
      <c r="AX74" s="360"/>
      <c r="AY74" s="360"/>
      <c r="AZ74" s="360"/>
      <c r="BA74" s="360"/>
      <c r="BB74" s="360"/>
      <c r="BC74" s="360"/>
      <c r="BD74" s="201"/>
      <c r="BE74" s="14"/>
    </row>
    <row r="75" spans="1:57">
      <c r="A75" s="2" t="s">
        <v>122</v>
      </c>
      <c r="B75" s="353"/>
      <c r="C75" s="353"/>
      <c r="D75" s="353"/>
      <c r="E75" s="353"/>
      <c r="F75" s="353">
        <f t="shared" si="78"/>
        <v>-2.7209086820508932E-2</v>
      </c>
      <c r="G75" s="353">
        <f t="shared" si="78"/>
        <v>-1.5296006871274415E-2</v>
      </c>
      <c r="H75" s="353">
        <f t="shared" si="78"/>
        <v>3.7540224107905251E-2</v>
      </c>
      <c r="I75" s="353">
        <f t="shared" si="78"/>
        <v>5.6045921330913906E-2</v>
      </c>
      <c r="J75" s="353">
        <f t="shared" si="78"/>
        <v>5.0824381284918063E-2</v>
      </c>
      <c r="K75" s="353">
        <f t="shared" si="78"/>
        <v>4.7952742180469521E-2</v>
      </c>
      <c r="L75" s="353">
        <f t="shared" si="78"/>
        <v>-1.2419022420913084E-3</v>
      </c>
      <c r="M75" s="353">
        <f t="shared" si="78"/>
        <v>-4.0702719300989343E-2</v>
      </c>
      <c r="N75" s="353">
        <f t="shared" si="78"/>
        <v>-4.3035097635950814E-2</v>
      </c>
      <c r="O75" s="353">
        <f t="shared" si="78"/>
        <v>-4.1383960486957694E-2</v>
      </c>
      <c r="P75" s="353">
        <f t="shared" si="78"/>
        <v>-4.227816131840223E-2</v>
      </c>
      <c r="Q75" s="353">
        <f t="shared" si="78"/>
        <v>-4.3227633510356744E-2</v>
      </c>
      <c r="R75" s="353">
        <f t="shared" si="78"/>
        <v>-2.6252917602912262E-2</v>
      </c>
      <c r="S75" s="353">
        <f t="shared" si="78"/>
        <v>-3.344000981510642E-2</v>
      </c>
      <c r="T75" s="353">
        <f t="shared" si="78"/>
        <v>-2.717173693567787E-2</v>
      </c>
      <c r="U75" s="353">
        <f t="shared" si="78"/>
        <v>-6.6029879477154108E-3</v>
      </c>
      <c r="V75" s="353">
        <f t="shared" si="83"/>
        <v>-2.2780614976709579E-2</v>
      </c>
      <c r="W75" s="354">
        <f t="shared" si="83"/>
        <v>3.5497020783457067E-3</v>
      </c>
      <c r="X75" s="354">
        <f t="shared" si="83"/>
        <v>3.5224162091155753E-2</v>
      </c>
      <c r="Y75" s="354">
        <f t="shared" si="83"/>
        <v>0.13379591701000959</v>
      </c>
      <c r="Z75" s="354">
        <f t="shared" si="83"/>
        <v>0.22383945950777417</v>
      </c>
      <c r="AA75" s="354">
        <f t="shared" ref="AA75:AG75" si="84">AA24/W24-1</f>
        <v>0.27623192191598145</v>
      </c>
      <c r="AB75" s="354">
        <f t="shared" si="84"/>
        <v>0.37185699515326487</v>
      </c>
      <c r="AC75" s="354">
        <f t="shared" si="84"/>
        <v>0.42318631998504141</v>
      </c>
      <c r="AD75" s="354">
        <f t="shared" si="84"/>
        <v>0.38050284415225</v>
      </c>
      <c r="AE75" s="354">
        <f t="shared" si="84"/>
        <v>0.32432432432432434</v>
      </c>
      <c r="AF75" s="327">
        <f t="shared" si="84"/>
        <v>0.26368412419647513</v>
      </c>
      <c r="AG75" s="327">
        <f t="shared" si="84"/>
        <v>0.28058995142030807</v>
      </c>
      <c r="AH75" s="327">
        <f t="shared" ref="AH75:AM75" si="85">AH24/AD24-1</f>
        <v>0.26952529765203947</v>
      </c>
      <c r="AI75" s="327">
        <f t="shared" si="85"/>
        <v>0.23615160349854225</v>
      </c>
      <c r="AJ75" s="327">
        <f t="shared" si="85"/>
        <v>0.23683892961484476</v>
      </c>
      <c r="AK75" s="327">
        <f t="shared" si="85"/>
        <v>0.12472052364328423</v>
      </c>
      <c r="AL75" s="327">
        <f t="shared" si="85"/>
        <v>0.11844982717981023</v>
      </c>
      <c r="AM75" s="327">
        <f t="shared" si="85"/>
        <v>0.18514150943396235</v>
      </c>
      <c r="AN75" s="327">
        <f t="shared" ref="AN75:AS75" si="86">AN24/AJ24-1</f>
        <v>0.14372253095615117</v>
      </c>
      <c r="AO75" s="327">
        <f t="shared" si="86"/>
        <v>9.0970795721648789E-2</v>
      </c>
      <c r="AP75" s="327">
        <f t="shared" si="86"/>
        <v>5.0586867953968051E-2</v>
      </c>
      <c r="AQ75" s="327">
        <f t="shared" si="86"/>
        <v>4.7656638201788892E-2</v>
      </c>
      <c r="AR75" s="327">
        <f t="shared" si="86"/>
        <v>3.2787662564288E-2</v>
      </c>
      <c r="AS75" s="327">
        <f t="shared" si="86"/>
        <v>2.8405996392710131E-2</v>
      </c>
      <c r="AT75" s="327">
        <f t="shared" ref="AT75:BC75" si="87">AT24/AP24-1</f>
        <v>5.7320334676495222E-2</v>
      </c>
      <c r="AU75" s="327">
        <f t="shared" si="87"/>
        <v>2.7358934200070184E-2</v>
      </c>
      <c r="AV75" s="327">
        <f t="shared" si="87"/>
        <v>3.1022053712066677E-2</v>
      </c>
      <c r="AW75" s="327">
        <f t="shared" si="87"/>
        <v>3.6539108214030724E-2</v>
      </c>
      <c r="AX75" s="327">
        <f t="shared" si="87"/>
        <v>3.0808116195824908E-2</v>
      </c>
      <c r="AY75" s="327">
        <f t="shared" si="87"/>
        <v>3.8262083147736048E-2</v>
      </c>
      <c r="AZ75" s="327">
        <f t="shared" si="87"/>
        <v>3.0256596910404276E-2</v>
      </c>
      <c r="BA75" s="327">
        <f t="shared" si="87"/>
        <v>3.1769213138662655E-2</v>
      </c>
      <c r="BB75" s="327">
        <f t="shared" si="87"/>
        <v>-8.7961724517623407E-3</v>
      </c>
      <c r="BC75" s="327">
        <f t="shared" si="87"/>
        <v>1.0595662762819202E-2</v>
      </c>
      <c r="BD75" s="4"/>
      <c r="BE75" s="2"/>
    </row>
    <row r="76" spans="1:57">
      <c r="A76" s="2" t="s">
        <v>123</v>
      </c>
      <c r="B76" s="353"/>
      <c r="C76" s="353"/>
      <c r="D76" s="353"/>
      <c r="E76" s="353"/>
      <c r="F76" s="353">
        <f t="shared" si="78"/>
        <v>-1.3821230144943297E-2</v>
      </c>
      <c r="G76" s="353">
        <f t="shared" si="78"/>
        <v>-2.0353803131077042E-2</v>
      </c>
      <c r="H76" s="353">
        <f t="shared" si="78"/>
        <v>-6.1270427050161724E-2</v>
      </c>
      <c r="I76" s="353">
        <f t="shared" si="78"/>
        <v>-4.6657615237828853E-2</v>
      </c>
      <c r="J76" s="353">
        <f t="shared" si="78"/>
        <v>2.5704249674662893E-2</v>
      </c>
      <c r="K76" s="353">
        <f t="shared" si="78"/>
        <v>3.8227121114960294E-2</v>
      </c>
      <c r="L76" s="353">
        <f t="shared" si="78"/>
        <v>5.8321015913456842E-2</v>
      </c>
      <c r="M76" s="353">
        <f t="shared" si="78"/>
        <v>6.178860507183459E-2</v>
      </c>
      <c r="N76" s="353">
        <f t="shared" si="78"/>
        <v>4.0644985363054609E-2</v>
      </c>
      <c r="O76" s="353">
        <f t="shared" si="78"/>
        <v>2.4410430505375169E-2</v>
      </c>
      <c r="P76" s="353">
        <f t="shared" si="78"/>
        <v>1.2037533318649096E-2</v>
      </c>
      <c r="Q76" s="353">
        <f t="shared" si="78"/>
        <v>-2.5241726155050492E-2</v>
      </c>
      <c r="R76" s="353">
        <f t="shared" si="78"/>
        <v>-8.2800639105596319E-2</v>
      </c>
      <c r="S76" s="353">
        <f t="shared" si="78"/>
        <v>-8.2521778150367875E-2</v>
      </c>
      <c r="T76" s="353">
        <f t="shared" si="78"/>
        <v>-0.10408207018778737</v>
      </c>
      <c r="U76" s="353">
        <f t="shared" si="78"/>
        <v>-8.200871144348687E-2</v>
      </c>
      <c r="V76" s="353">
        <f t="shared" si="83"/>
        <v>-4.1317852365559848E-2</v>
      </c>
      <c r="W76" s="354">
        <f t="shared" si="83"/>
        <v>-6.238086633243356E-2</v>
      </c>
      <c r="X76" s="354">
        <f t="shared" si="83"/>
        <v>-0.12841029321253372</v>
      </c>
      <c r="Y76" s="354">
        <f t="shared" si="83"/>
        <v>-0.26972490524205017</v>
      </c>
      <c r="Z76" s="354">
        <f t="shared" si="83"/>
        <v>-0.34372281686990291</v>
      </c>
      <c r="AA76" s="360"/>
      <c r="AB76" s="360"/>
      <c r="AC76" s="360"/>
      <c r="AD76" s="360"/>
      <c r="AE76" s="360"/>
      <c r="AF76" s="360"/>
      <c r="AG76" s="360"/>
      <c r="AH76" s="360"/>
      <c r="AI76" s="360"/>
      <c r="AJ76" s="360"/>
      <c r="AK76" s="360"/>
      <c r="AL76" s="360"/>
      <c r="AM76" s="360"/>
      <c r="AN76" s="360"/>
      <c r="AO76" s="360"/>
      <c r="AP76" s="360"/>
      <c r="AQ76" s="360"/>
      <c r="AR76" s="360"/>
      <c r="AS76" s="360"/>
      <c r="AT76" s="360"/>
      <c r="AU76" s="360"/>
      <c r="AV76" s="360"/>
      <c r="AW76" s="360"/>
      <c r="AX76" s="360"/>
      <c r="AY76" s="360"/>
      <c r="AZ76" s="360"/>
      <c r="BA76" s="360"/>
      <c r="BB76" s="360"/>
      <c r="BC76" s="360"/>
      <c r="BD76" s="201"/>
      <c r="BE76" s="14"/>
    </row>
    <row r="77" spans="1:57">
      <c r="A77" s="2" t="s">
        <v>124</v>
      </c>
      <c r="B77" s="353"/>
      <c r="C77" s="353">
        <f t="shared" ref="C77:Y77" si="88">C25/B25-1</f>
        <v>-2.643055372029135E-4</v>
      </c>
      <c r="D77" s="353">
        <f t="shared" si="88"/>
        <v>3.5939912958023568E-2</v>
      </c>
      <c r="E77" s="353">
        <f t="shared" si="88"/>
        <v>-2.0294268244378078E-2</v>
      </c>
      <c r="F77" s="353">
        <f t="shared" si="88"/>
        <v>-2.8058254688565043E-2</v>
      </c>
      <c r="G77" s="353">
        <f t="shared" si="88"/>
        <v>-6.8866813077553823E-3</v>
      </c>
      <c r="H77" s="353">
        <f t="shared" si="88"/>
        <v>-7.3279157302802433E-3</v>
      </c>
      <c r="I77" s="353">
        <f t="shared" si="88"/>
        <v>-5.0435976549539907E-3</v>
      </c>
      <c r="J77" s="353">
        <f t="shared" si="88"/>
        <v>4.5715363689456723E-2</v>
      </c>
      <c r="K77" s="353">
        <f t="shared" si="88"/>
        <v>5.2382859228814471E-3</v>
      </c>
      <c r="L77" s="353">
        <f t="shared" si="88"/>
        <v>1.1884304818629454E-2</v>
      </c>
      <c r="M77" s="353">
        <f t="shared" si="88"/>
        <v>-1.7836226738728866E-3</v>
      </c>
      <c r="N77" s="353">
        <f t="shared" si="88"/>
        <v>2.4891813815343333E-2</v>
      </c>
      <c r="O77" s="353">
        <f t="shared" si="88"/>
        <v>-1.0443907646870088E-2</v>
      </c>
      <c r="P77" s="353">
        <f t="shared" si="88"/>
        <v>-3.373009904856783E-4</v>
      </c>
      <c r="Q77" s="353">
        <f t="shared" si="88"/>
        <v>-3.8553768163645308E-2</v>
      </c>
      <c r="R77" s="353">
        <f t="shared" si="88"/>
        <v>-3.5627455708197919E-2</v>
      </c>
      <c r="S77" s="353">
        <f t="shared" si="88"/>
        <v>-1.0143047693264462E-2</v>
      </c>
      <c r="T77" s="353">
        <f t="shared" si="88"/>
        <v>-2.3828888274278981E-2</v>
      </c>
      <c r="U77" s="353">
        <f t="shared" si="88"/>
        <v>-1.4865942658101594E-2</v>
      </c>
      <c r="V77" s="353">
        <f>V25/U25-1</f>
        <v>7.1192977605676333E-3</v>
      </c>
      <c r="W77" s="354">
        <f t="shared" si="88"/>
        <v>-3.1890997066359561E-2</v>
      </c>
      <c r="X77" s="354">
        <f t="shared" si="88"/>
        <v>-9.2573239503583649E-2</v>
      </c>
      <c r="Y77" s="354">
        <f t="shared" si="88"/>
        <v>-0.17458999174474421</v>
      </c>
      <c r="Z77" s="354">
        <f>Z25/Y25-1</f>
        <v>-9.4930909523432527E-2</v>
      </c>
      <c r="AA77" s="360"/>
      <c r="AB77" s="360"/>
      <c r="AC77" s="360"/>
      <c r="AD77" s="360"/>
      <c r="AE77" s="360"/>
      <c r="AF77" s="360"/>
      <c r="AG77" s="360"/>
      <c r="AH77" s="360"/>
      <c r="AI77" s="360"/>
      <c r="AJ77" s="360"/>
      <c r="AK77" s="360"/>
      <c r="AL77" s="360"/>
      <c r="AM77" s="360"/>
      <c r="AN77" s="360"/>
      <c r="AO77" s="360"/>
      <c r="AP77" s="360"/>
      <c r="AQ77" s="360"/>
      <c r="AR77" s="360"/>
      <c r="AS77" s="360"/>
      <c r="AT77" s="360"/>
      <c r="AU77" s="360"/>
      <c r="AV77" s="360"/>
      <c r="AW77" s="360"/>
      <c r="AX77" s="360"/>
      <c r="AY77" s="360"/>
      <c r="AZ77" s="360"/>
      <c r="BA77" s="360"/>
      <c r="BB77" s="360"/>
      <c r="BC77" s="360"/>
      <c r="BD77" s="201"/>
      <c r="BE77" s="14"/>
    </row>
    <row r="78" spans="1:57">
      <c r="A78" s="2"/>
      <c r="B78" s="353"/>
      <c r="C78" s="353"/>
      <c r="D78" s="353"/>
      <c r="E78" s="353"/>
      <c r="F78" s="353"/>
      <c r="G78" s="353"/>
      <c r="H78" s="353"/>
      <c r="I78" s="353"/>
      <c r="J78" s="353"/>
      <c r="K78" s="353"/>
      <c r="L78" s="353"/>
      <c r="M78" s="353"/>
      <c r="N78" s="353"/>
      <c r="O78" s="353"/>
      <c r="P78" s="353"/>
      <c r="Q78" s="353"/>
      <c r="R78" s="353"/>
      <c r="S78" s="353"/>
      <c r="T78" s="353"/>
      <c r="U78" s="353"/>
      <c r="V78" s="353"/>
      <c r="W78" s="353"/>
      <c r="X78" s="353"/>
      <c r="Y78" s="353"/>
      <c r="Z78" s="353"/>
      <c r="AA78" s="353"/>
      <c r="AB78" s="354"/>
      <c r="AC78" s="354"/>
      <c r="AD78" s="354"/>
      <c r="AE78" s="327"/>
      <c r="AF78" s="327"/>
      <c r="AG78" s="327"/>
      <c r="AH78" s="327"/>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4"/>
      <c r="BE78" s="2"/>
    </row>
    <row r="79" spans="1:57" s="27" customFormat="1" ht="15.7" thickBot="1">
      <c r="A79" s="510" t="s">
        <v>127</v>
      </c>
      <c r="B79" s="530" t="str">
        <f t="shared" ref="B79:Y79" si="89">B68</f>
        <v>Q1 12</v>
      </c>
      <c r="C79" s="530" t="str">
        <f t="shared" si="89"/>
        <v>Q2 12</v>
      </c>
      <c r="D79" s="530" t="str">
        <f t="shared" si="89"/>
        <v>Q3 12</v>
      </c>
      <c r="E79" s="530" t="str">
        <f t="shared" si="89"/>
        <v>4Q12</v>
      </c>
      <c r="F79" s="530" t="str">
        <f t="shared" si="89"/>
        <v>1Q13</v>
      </c>
      <c r="G79" s="530" t="str">
        <f t="shared" si="89"/>
        <v>2Q13</v>
      </c>
      <c r="H79" s="530" t="str">
        <f t="shared" si="89"/>
        <v>3Q13</v>
      </c>
      <c r="I79" s="530" t="str">
        <f t="shared" si="89"/>
        <v>4Q13</v>
      </c>
      <c r="J79" s="530" t="str">
        <f t="shared" si="89"/>
        <v>1Q14</v>
      </c>
      <c r="K79" s="530" t="str">
        <f t="shared" si="89"/>
        <v>2Q14</v>
      </c>
      <c r="L79" s="530" t="str">
        <f t="shared" si="89"/>
        <v>3Q14</v>
      </c>
      <c r="M79" s="530" t="str">
        <f t="shared" si="89"/>
        <v>4Q14</v>
      </c>
      <c r="N79" s="530" t="str">
        <f t="shared" si="89"/>
        <v>1Q15</v>
      </c>
      <c r="O79" s="530" t="str">
        <f t="shared" si="89"/>
        <v>2Q15</v>
      </c>
      <c r="P79" s="530" t="str">
        <f t="shared" si="89"/>
        <v>3Q15</v>
      </c>
      <c r="Q79" s="530" t="str">
        <f t="shared" si="89"/>
        <v>4Q15</v>
      </c>
      <c r="R79" s="530" t="str">
        <f t="shared" si="89"/>
        <v>1Q16</v>
      </c>
      <c r="S79" s="530" t="str">
        <f t="shared" si="89"/>
        <v>2Q16</v>
      </c>
      <c r="T79" s="530" t="str">
        <f t="shared" si="89"/>
        <v>3Q16</v>
      </c>
      <c r="U79" s="530" t="str">
        <f t="shared" si="89"/>
        <v>4Q16</v>
      </c>
      <c r="V79" s="530" t="str">
        <f t="shared" si="89"/>
        <v>1Q17</v>
      </c>
      <c r="W79" s="530" t="str">
        <f t="shared" si="89"/>
        <v>2Q17</v>
      </c>
      <c r="X79" s="530" t="str">
        <f t="shared" si="89"/>
        <v>3Q17</v>
      </c>
      <c r="Y79" s="530" t="str">
        <f t="shared" si="89"/>
        <v>4Q17</v>
      </c>
      <c r="Z79" s="530" t="str">
        <f t="shared" ref="Z79:AE79" si="90">Z68</f>
        <v>1Q18</v>
      </c>
      <c r="AA79" s="530" t="str">
        <f t="shared" si="90"/>
        <v>2Q18</v>
      </c>
      <c r="AB79" s="530" t="str">
        <f t="shared" si="90"/>
        <v>3Q18</v>
      </c>
      <c r="AC79" s="530" t="str">
        <f t="shared" si="90"/>
        <v>4Q18</v>
      </c>
      <c r="AD79" s="530" t="str">
        <f t="shared" si="90"/>
        <v>1Q19</v>
      </c>
      <c r="AE79" s="530" t="str">
        <f t="shared" si="90"/>
        <v>2Q19</v>
      </c>
      <c r="AF79" s="530" t="str">
        <f t="shared" ref="AF79:AG79" si="91">AF68</f>
        <v>3Q19</v>
      </c>
      <c r="AG79" s="530" t="str">
        <f t="shared" si="91"/>
        <v>4Q19</v>
      </c>
      <c r="AH79" s="530" t="str">
        <f t="shared" ref="AH79:AI79" si="92">AH68</f>
        <v>1Q20</v>
      </c>
      <c r="AI79" s="530" t="str">
        <f t="shared" si="92"/>
        <v>2Q20</v>
      </c>
      <c r="AJ79" s="530" t="str">
        <f t="shared" ref="AJ79:AK79" si="93">AJ68</f>
        <v>3Q20</v>
      </c>
      <c r="AK79" s="530" t="str">
        <f t="shared" si="93"/>
        <v>4Q20</v>
      </c>
      <c r="AL79" s="530" t="str">
        <f t="shared" ref="AL79:AM79" si="94">AL68</f>
        <v>1Q21</v>
      </c>
      <c r="AM79" s="530" t="str">
        <f t="shared" si="94"/>
        <v>2Q21</v>
      </c>
      <c r="AN79" s="530" t="str">
        <f t="shared" ref="AN79:AO79" si="95">AN68</f>
        <v>3Q21</v>
      </c>
      <c r="AO79" s="530" t="str">
        <f t="shared" si="95"/>
        <v>4Q21</v>
      </c>
      <c r="AP79" s="530" t="str">
        <f t="shared" ref="AP79:AQ79" si="96">AP68</f>
        <v>1Q22</v>
      </c>
      <c r="AQ79" s="530" t="str">
        <f t="shared" si="96"/>
        <v>2Q22</v>
      </c>
      <c r="AR79" s="530" t="str">
        <f t="shared" ref="AR79:AS79" si="97">AR68</f>
        <v>3Q22</v>
      </c>
      <c r="AS79" s="530" t="str">
        <f t="shared" si="97"/>
        <v>4Q22</v>
      </c>
      <c r="AT79" s="530" t="str">
        <f t="shared" ref="AT79:AU79" si="98">AT68</f>
        <v>1Q23</v>
      </c>
      <c r="AU79" s="530" t="str">
        <f t="shared" si="98"/>
        <v>2Q23</v>
      </c>
      <c r="AV79" s="530" t="str">
        <f t="shared" ref="AV79:AW79" si="99">AV68</f>
        <v>3Q23</v>
      </c>
      <c r="AW79" s="530" t="str">
        <f t="shared" si="99"/>
        <v>4Q23</v>
      </c>
      <c r="AX79" s="530" t="str">
        <f t="shared" ref="AX79:AY79" si="100">AX68</f>
        <v>1Q24</v>
      </c>
      <c r="AY79" s="530" t="str">
        <f t="shared" si="100"/>
        <v>2Q24</v>
      </c>
      <c r="AZ79" s="530" t="str">
        <f t="shared" ref="AZ79:BA79" si="101">AZ68</f>
        <v>3Q24</v>
      </c>
      <c r="BA79" s="530" t="str">
        <f t="shared" si="101"/>
        <v>4Q24</v>
      </c>
      <c r="BB79" s="530" t="str">
        <f t="shared" ref="BB79:BC79" si="102">BB68</f>
        <v>1Q25</v>
      </c>
      <c r="BC79" s="530" t="str">
        <f t="shared" si="102"/>
        <v>2Q25</v>
      </c>
      <c r="BD79" s="527"/>
      <c r="BE79" s="510"/>
    </row>
    <row r="80" spans="1:57" ht="15.7" thickBot="1">
      <c r="A80" s="13" t="s">
        <v>125</v>
      </c>
      <c r="B80" s="350"/>
      <c r="C80" s="350"/>
      <c r="D80" s="350"/>
      <c r="E80" s="350"/>
      <c r="F80" s="350"/>
      <c r="G80" s="350"/>
      <c r="H80" s="350"/>
      <c r="I80" s="350"/>
      <c r="J80" s="350"/>
      <c r="K80" s="350"/>
      <c r="L80" s="350"/>
      <c r="M80" s="350"/>
      <c r="N80" s="350">
        <f t="shared" ref="N80:W81" si="103">N36/J36-1</f>
        <v>0.51957340663225704</v>
      </c>
      <c r="O80" s="350">
        <f t="shared" si="103"/>
        <v>0.43042960814635589</v>
      </c>
      <c r="P80" s="350">
        <f t="shared" si="103"/>
        <v>0.32449994413414118</v>
      </c>
      <c r="Q80" s="350">
        <f t="shared" si="103"/>
        <v>0.30281032411650233</v>
      </c>
      <c r="R80" s="365">
        <f t="shared" si="103"/>
        <v>0.25814665773100232</v>
      </c>
      <c r="S80" s="366">
        <f t="shared" si="103"/>
        <v>0.27189193004575452</v>
      </c>
      <c r="T80" s="366">
        <f t="shared" si="103"/>
        <v>0.29850171420732119</v>
      </c>
      <c r="U80" s="366">
        <f t="shared" si="103"/>
        <v>0.25501557701707034</v>
      </c>
      <c r="V80" s="366">
        <f t="shared" si="103"/>
        <v>0.19067947943687358</v>
      </c>
      <c r="W80" s="366">
        <f t="shared" si="103"/>
        <v>0.22829855910899344</v>
      </c>
      <c r="X80" s="366">
        <f t="shared" ref="X80:AG81" si="104">X36/T36-1</f>
        <v>1.0041016051298701E-3</v>
      </c>
      <c r="Y80" s="366">
        <f t="shared" si="104"/>
        <v>-1.4654804903036833E-2</v>
      </c>
      <c r="Z80" s="366">
        <f t="shared" si="104"/>
        <v>6.2094634387665382E-2</v>
      </c>
      <c r="AA80" s="366">
        <f t="shared" si="104"/>
        <v>4.9632944465306084E-2</v>
      </c>
      <c r="AB80" s="366">
        <f t="shared" si="104"/>
        <v>0.28991746182027134</v>
      </c>
      <c r="AC80" s="366">
        <f t="shared" si="104"/>
        <v>0.50059151140127978</v>
      </c>
      <c r="AD80" s="366">
        <f t="shared" si="104"/>
        <v>0.51506876629020115</v>
      </c>
      <c r="AE80" s="366">
        <f t="shared" si="104"/>
        <v>0.48499197190165577</v>
      </c>
      <c r="AF80" s="367">
        <f t="shared" si="104"/>
        <v>0.5177471640831206</v>
      </c>
      <c r="AG80" s="367">
        <f t="shared" si="104"/>
        <v>0.33771316953736674</v>
      </c>
      <c r="AH80" s="367">
        <f t="shared" ref="AH80:AM81" si="105">AH36/AD36-1</f>
        <v>0.26654819049295875</v>
      </c>
      <c r="AI80" s="367">
        <f t="shared" si="105"/>
        <v>0.27210538047988786</v>
      </c>
      <c r="AJ80" s="367">
        <f t="shared" si="105"/>
        <v>0.28771112723349246</v>
      </c>
      <c r="AK80" s="367">
        <f t="shared" si="105"/>
        <v>0.29033638740045342</v>
      </c>
      <c r="AL80" s="367">
        <f t="shared" si="105"/>
        <v>0.24192090346252915</v>
      </c>
      <c r="AM80" s="367">
        <f t="shared" si="105"/>
        <v>0.30539902770399707</v>
      </c>
      <c r="AN80" s="367">
        <f t="shared" ref="AN80:AO81" si="106">AN36/AJ36-1</f>
        <v>0.26219353016417002</v>
      </c>
      <c r="AO80" s="367">
        <f t="shared" si="106"/>
        <v>0.2696021272653133</v>
      </c>
      <c r="AP80" s="367">
        <f t="shared" ref="AP80:AS81" si="107">AP36/AL36-1</f>
        <v>0.29409012071326046</v>
      </c>
      <c r="AQ80" s="367">
        <f t="shared" si="107"/>
        <v>0.23332385200230044</v>
      </c>
      <c r="AR80" s="367">
        <f t="shared" si="107"/>
        <v>0.16143022376663985</v>
      </c>
      <c r="AS80" s="367">
        <f t="shared" si="107"/>
        <v>0.1050334150682537</v>
      </c>
      <c r="AT80" s="367">
        <f t="shared" ref="AT80:AZ81" si="108">AT36/AP36-1</f>
        <v>0.10533502040988596</v>
      </c>
      <c r="AU80" s="367">
        <f t="shared" si="108"/>
        <v>9.5350142671914329E-2</v>
      </c>
      <c r="AV80" s="367">
        <f t="shared" si="108"/>
        <v>0.11008382190903054</v>
      </c>
      <c r="AW80" s="367">
        <f t="shared" si="108"/>
        <v>0.11623831483152269</v>
      </c>
      <c r="AX80" s="367">
        <f t="shared" si="108"/>
        <v>0.11708023986018379</v>
      </c>
      <c r="AY80" s="367">
        <f t="shared" si="108"/>
        <v>0.12226188260087145</v>
      </c>
      <c r="AZ80" s="367">
        <f t="shared" si="108"/>
        <v>0.12369133242288055</v>
      </c>
      <c r="BA80" s="367">
        <f>BA36/AW36-1</f>
        <v>0.12106270567200084</v>
      </c>
      <c r="BB80" s="367">
        <f>BB36/AX36-1</f>
        <v>0.12132610846295333</v>
      </c>
      <c r="BC80" s="367">
        <f>BC36/AY36-1</f>
        <v>0.10279383646965834</v>
      </c>
      <c r="BD80" s="4"/>
      <c r="BE80" s="2"/>
    </row>
    <row r="81" spans="1:57">
      <c r="A81" s="2" t="s">
        <v>126</v>
      </c>
      <c r="B81" s="353"/>
      <c r="C81" s="353"/>
      <c r="D81" s="353"/>
      <c r="E81" s="353"/>
      <c r="F81" s="353"/>
      <c r="G81" s="353"/>
      <c r="H81" s="353"/>
      <c r="I81" s="353"/>
      <c r="J81" s="353">
        <f>J37/F37-1</f>
        <v>0.68025153770156588</v>
      </c>
      <c r="K81" s="353">
        <f>K37/G37-1</f>
        <v>0.85306740212565568</v>
      </c>
      <c r="L81" s="353">
        <f>L37/H37-1</f>
        <v>0.6977221805159215</v>
      </c>
      <c r="M81" s="353">
        <f>M37/I37-1</f>
        <v>0.60466443380955615</v>
      </c>
      <c r="N81" s="353">
        <f t="shared" si="103"/>
        <v>1.0094310208820017</v>
      </c>
      <c r="O81" s="353">
        <f t="shared" si="103"/>
        <v>1.0764770440605447</v>
      </c>
      <c r="P81" s="353">
        <f t="shared" si="103"/>
        <v>0.9236877167294808</v>
      </c>
      <c r="Q81" s="353">
        <f t="shared" si="103"/>
        <v>0.8957287733121515</v>
      </c>
      <c r="R81" s="353">
        <f t="shared" si="103"/>
        <v>0.70399787991035567</v>
      </c>
      <c r="S81" s="353">
        <f t="shared" si="103"/>
        <v>0.54716161036376199</v>
      </c>
      <c r="T81" s="353">
        <f t="shared" si="103"/>
        <v>0.82295112392153369</v>
      </c>
      <c r="U81" s="353">
        <f t="shared" si="103"/>
        <v>0.82397923833784459</v>
      </c>
      <c r="V81" s="353">
        <f t="shared" si="103"/>
        <v>0.71217646012620617</v>
      </c>
      <c r="W81" s="353">
        <f t="shared" si="103"/>
        <v>0.72986096118022359</v>
      </c>
      <c r="X81" s="353">
        <f t="shared" si="104"/>
        <v>0.22046212693488187</v>
      </c>
      <c r="Y81" s="353">
        <f t="shared" si="104"/>
        <v>0.20459908803002591</v>
      </c>
      <c r="Z81" s="353">
        <f t="shared" si="104"/>
        <v>0.33737053541912698</v>
      </c>
      <c r="AA81" s="353">
        <f t="shared" si="104"/>
        <v>-0.31521319946516668</v>
      </c>
      <c r="AB81" s="354">
        <f t="shared" si="104"/>
        <v>-3.5093623936767626E-2</v>
      </c>
      <c r="AC81" s="354">
        <f t="shared" si="104"/>
        <v>0.12048217394611394</v>
      </c>
      <c r="AD81" s="354">
        <f t="shared" si="104"/>
        <v>0.19157746651996699</v>
      </c>
      <c r="AE81" s="354">
        <f t="shared" si="104"/>
        <v>1.3221578463929911</v>
      </c>
      <c r="AF81" s="327">
        <f t="shared" si="104"/>
        <v>1.1191739764071822</v>
      </c>
      <c r="AG81" s="327">
        <f t="shared" si="104"/>
        <v>0.81371442898332713</v>
      </c>
      <c r="AH81" s="327">
        <f t="shared" si="105"/>
        <v>0.63299519568984763</v>
      </c>
      <c r="AI81" s="327">
        <f t="shared" si="105"/>
        <v>0.56868144406748722</v>
      </c>
      <c r="AJ81" s="327">
        <f t="shared" si="105"/>
        <v>0.60628421653604603</v>
      </c>
      <c r="AK81" s="327">
        <f t="shared" si="105"/>
        <v>0.57024011611832992</v>
      </c>
      <c r="AL81" s="327">
        <f t="shared" si="105"/>
        <v>0.45308481823123148</v>
      </c>
      <c r="AM81" s="327">
        <f t="shared" si="105"/>
        <v>0.48077936398638355</v>
      </c>
      <c r="AN81" s="327">
        <f t="shared" si="106"/>
        <v>0.33794661370173795</v>
      </c>
      <c r="AO81" s="327">
        <f t="shared" si="106"/>
        <v>0.31533803786567827</v>
      </c>
      <c r="AP81" s="327">
        <f t="shared" si="107"/>
        <v>0.33358659839175808</v>
      </c>
      <c r="AQ81" s="327">
        <f t="shared" si="107"/>
        <v>0.26102116584208357</v>
      </c>
      <c r="AR81" s="327">
        <f t="shared" si="107"/>
        <v>0.18059942253321948</v>
      </c>
      <c r="AS81" s="327">
        <f t="shared" si="107"/>
        <v>0.11987675320898283</v>
      </c>
      <c r="AT81" s="327">
        <f t="shared" si="108"/>
        <v>0.11297980106744232</v>
      </c>
      <c r="AU81" s="327">
        <f t="shared" si="108"/>
        <v>9.2250340040969547E-2</v>
      </c>
      <c r="AV81" s="327">
        <f t="shared" si="108"/>
        <v>0.10831331025207014</v>
      </c>
      <c r="AW81" s="327">
        <f t="shared" si="108"/>
        <v>0.11623528034823161</v>
      </c>
      <c r="AX81" s="327">
        <f t="shared" si="108"/>
        <v>0.11928334632745496</v>
      </c>
      <c r="AY81" s="327">
        <f t="shared" si="108"/>
        <v>0.12917920445120457</v>
      </c>
      <c r="AZ81" s="327">
        <f t="shared" si="108"/>
        <v>0.13007020054148666</v>
      </c>
      <c r="BA81" s="327">
        <f>BA37/AW37-1</f>
        <v>0.12771518330374509</v>
      </c>
      <c r="BB81" s="327">
        <f>BB37/AX37-1</f>
        <v>0.12918995691223656</v>
      </c>
      <c r="BC81" s="327">
        <f>BC37/AY37-1</f>
        <v>0.11020082690401511</v>
      </c>
      <c r="BD81" s="4"/>
      <c r="BE81" s="2"/>
    </row>
    <row r="82" spans="1:57">
      <c r="A82" s="2" t="s">
        <v>506</v>
      </c>
      <c r="B82" s="353"/>
      <c r="C82" s="353"/>
      <c r="D82" s="353"/>
      <c r="E82" s="353"/>
      <c r="F82" s="364">
        <f>F36-F37</f>
        <v>34947.315999999999</v>
      </c>
      <c r="G82" s="364">
        <f t="shared" ref="G82:Y82" si="109">G36-G37</f>
        <v>36586.18</v>
      </c>
      <c r="H82" s="364">
        <f t="shared" si="109"/>
        <v>36293.302000000003</v>
      </c>
      <c r="I82" s="364">
        <f t="shared" si="109"/>
        <v>37099.084999999999</v>
      </c>
      <c r="J82" s="364">
        <f t="shared" si="109"/>
        <v>19637.171000000002</v>
      </c>
      <c r="K82" s="364">
        <f t="shared" si="109"/>
        <v>20601.161</v>
      </c>
      <c r="L82" s="364">
        <f t="shared" si="109"/>
        <v>23091.639000000003</v>
      </c>
      <c r="M82" s="364">
        <f t="shared" si="109"/>
        <v>25349.516000000003</v>
      </c>
      <c r="N82" s="364">
        <f t="shared" si="109"/>
        <v>26784.272000000001</v>
      </c>
      <c r="O82" s="364">
        <f t="shared" si="109"/>
        <v>24663.288</v>
      </c>
      <c r="P82" s="364">
        <f t="shared" si="109"/>
        <v>25308.309000000001</v>
      </c>
      <c r="Q82" s="364">
        <f t="shared" si="109"/>
        <v>26945.07</v>
      </c>
      <c r="R82" s="364">
        <f t="shared" si="109"/>
        <v>28109.654999999999</v>
      </c>
      <c r="S82" s="364">
        <f t="shared" si="109"/>
        <v>27117.611000000004</v>
      </c>
      <c r="T82" s="364">
        <f t="shared" si="109"/>
        <v>23978.513999999996</v>
      </c>
      <c r="U82" s="364">
        <f t="shared" si="109"/>
        <v>22755.136000000006</v>
      </c>
      <c r="V82" s="364">
        <f t="shared" si="109"/>
        <v>22330.332000000002</v>
      </c>
      <c r="W82" s="364">
        <f t="shared" si="109"/>
        <v>21323.553999999996</v>
      </c>
      <c r="X82" s="364">
        <f t="shared" si="109"/>
        <v>17225.404000000002</v>
      </c>
      <c r="Y82" s="364">
        <f t="shared" si="109"/>
        <v>14646.838000000003</v>
      </c>
      <c r="Z82" s="364">
        <f t="shared" ref="Z82:AA82" si="110">Z36-Z37</f>
        <v>13649.437000000005</v>
      </c>
      <c r="AA82" s="364">
        <f t="shared" si="110"/>
        <v>37463</v>
      </c>
      <c r="AB82" s="361">
        <f t="shared" ref="AB82:AC82" si="111">AB36-AB37</f>
        <v>34468.909</v>
      </c>
      <c r="AC82" s="361">
        <f t="shared" si="111"/>
        <v>38215.495999999999</v>
      </c>
      <c r="AD82" s="361">
        <f t="shared" ref="AD82:AE82" si="112">AD36-AD37</f>
        <v>36502.051999999996</v>
      </c>
      <c r="AE82" s="361">
        <f t="shared" si="112"/>
        <v>31935.437000000005</v>
      </c>
      <c r="AF82" s="330">
        <f t="shared" ref="AF82:AG82" si="113">AF36-AF37</f>
        <v>30443</v>
      </c>
      <c r="AG82" s="330">
        <f t="shared" si="113"/>
        <v>28339</v>
      </c>
      <c r="AH82" s="330">
        <f t="shared" ref="AH82:AI82" si="114">AH36-AH37</f>
        <v>24874.709999999992</v>
      </c>
      <c r="AI82" s="330">
        <f t="shared" si="114"/>
        <v>21131</v>
      </c>
      <c r="AJ82" s="330">
        <f t="shared" ref="AJ82:AK82" si="115">AJ36-AJ37</f>
        <v>14649.999000000011</v>
      </c>
      <c r="AK82" s="330">
        <f t="shared" si="115"/>
        <v>12268.960000000021</v>
      </c>
      <c r="AL82" s="330">
        <f t="shared" ref="AL82:AM82" si="116">AL36-AL37</f>
        <v>10795.404999999999</v>
      </c>
      <c r="AM82" s="330">
        <f t="shared" si="116"/>
        <v>9500.7449999999953</v>
      </c>
      <c r="AN82" s="330">
        <f t="shared" ref="AN82:AO82" si="117">AN36-AN37</f>
        <v>9113.4240000000573</v>
      </c>
      <c r="AO82" s="330">
        <f t="shared" si="117"/>
        <v>9342.4630000000179</v>
      </c>
      <c r="AP82" s="330">
        <f t="shared" ref="AP82:AQ82" si="118">AP36-AP37</f>
        <v>8508.1070000000182</v>
      </c>
      <c r="AQ82" s="330">
        <f t="shared" si="118"/>
        <v>7488.5409999999683</v>
      </c>
      <c r="AR82" s="330">
        <f t="shared" ref="AR82:AS82" si="119">AR36-AR37</f>
        <v>7409.6389999999956</v>
      </c>
      <c r="AS82" s="330">
        <f t="shared" si="119"/>
        <v>7662.4280000000144</v>
      </c>
      <c r="AT82" s="330">
        <f t="shared" ref="AT82:AU82" si="120">AT36-AT37</f>
        <v>7994.4059999999881</v>
      </c>
      <c r="AU82" s="330">
        <f t="shared" si="120"/>
        <v>8799.4059999999881</v>
      </c>
      <c r="AV82" s="330">
        <f t="shared" ref="AV82:AW82" si="121">AV36-AV37</f>
        <v>8571.5279999999329</v>
      </c>
      <c r="AW82" s="330">
        <f t="shared" si="121"/>
        <v>8553.7049999999872</v>
      </c>
      <c r="AX82" s="330">
        <f t="shared" ref="AX82:AY82" si="122">AX36-AX37</f>
        <v>8478.1759999999485</v>
      </c>
      <c r="AY82" s="330">
        <f t="shared" si="122"/>
        <v>8420.5229999999283</v>
      </c>
      <c r="AZ82" s="330">
        <f t="shared" ref="AZ82" si="123">AZ36-AZ37</f>
        <v>8249.3190000000177</v>
      </c>
      <c r="BA82" s="330">
        <f>BA36-BA37</f>
        <v>8098.256999999925</v>
      </c>
      <c r="BB82" s="330">
        <f>BB36-BB37</f>
        <v>7700.0979999999399</v>
      </c>
      <c r="BC82" s="330">
        <f>BC36-BC37</f>
        <v>7527.1869999999763</v>
      </c>
      <c r="BD82" s="4"/>
      <c r="BE82" s="2"/>
    </row>
    <row r="83" spans="1:57">
      <c r="A83" s="2"/>
      <c r="B83" s="353"/>
      <c r="C83" s="353"/>
      <c r="D83" s="353"/>
      <c r="E83" s="353"/>
      <c r="F83" s="353"/>
      <c r="G83" s="353"/>
      <c r="H83" s="353"/>
      <c r="I83" s="353"/>
      <c r="J83" s="353"/>
      <c r="K83" s="353"/>
      <c r="L83" s="353"/>
      <c r="M83" s="353"/>
      <c r="N83" s="353"/>
      <c r="O83" s="353"/>
      <c r="P83" s="353"/>
      <c r="Q83" s="353"/>
      <c r="R83" s="353"/>
      <c r="S83" s="353"/>
      <c r="T83" s="353"/>
      <c r="U83" s="353"/>
      <c r="V83" s="353"/>
      <c r="W83" s="353"/>
      <c r="X83" s="353"/>
      <c r="Y83" s="353"/>
      <c r="Z83" s="353"/>
      <c r="AA83" s="353"/>
      <c r="AB83" s="354"/>
      <c r="AC83" s="354"/>
      <c r="AD83" s="354"/>
      <c r="AE83" s="354"/>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4"/>
      <c r="BE83" s="2"/>
    </row>
    <row r="84" spans="1:57">
      <c r="A84" s="2" t="s">
        <v>120</v>
      </c>
      <c r="B84" s="353"/>
      <c r="C84" s="353"/>
      <c r="D84" s="353"/>
      <c r="E84" s="353"/>
      <c r="F84" s="353"/>
      <c r="G84" s="353"/>
      <c r="H84" s="353"/>
      <c r="I84" s="353">
        <f t="shared" ref="I84:U87" si="124">I39/E39-1</f>
        <v>1.3923552124302003</v>
      </c>
      <c r="J84" s="353">
        <f t="shared" si="124"/>
        <v>1.260310849934958</v>
      </c>
      <c r="K84" s="353">
        <f t="shared" si="124"/>
        <v>1.1804899851899275</v>
      </c>
      <c r="L84" s="353">
        <f t="shared" si="124"/>
        <v>1.0191407667467307</v>
      </c>
      <c r="M84" s="353">
        <f t="shared" si="124"/>
        <v>0.99088715458059795</v>
      </c>
      <c r="N84" s="353">
        <f t="shared" si="124"/>
        <v>0.95787856445757047</v>
      </c>
      <c r="O84" s="353">
        <f t="shared" si="124"/>
        <v>0.9543507579827879</v>
      </c>
      <c r="P84" s="353">
        <f t="shared" si="124"/>
        <v>0.93533832758153967</v>
      </c>
      <c r="Q84" s="353">
        <f t="shared" si="124"/>
        <v>0.8177863599202646</v>
      </c>
      <c r="R84" s="372">
        <f t="shared" si="124"/>
        <v>0.83448598031980614</v>
      </c>
      <c r="S84" s="373">
        <f t="shared" si="124"/>
        <v>0.69887511870504992</v>
      </c>
      <c r="T84" s="373">
        <f t="shared" si="124"/>
        <v>0.73322815309023359</v>
      </c>
      <c r="U84" s="373">
        <f t="shared" si="124"/>
        <v>0.69425361886650516</v>
      </c>
      <c r="V84" s="373">
        <f t="shared" ref="V84:AC84" si="125">V39/R39-1</f>
        <v>0.54912689490069977</v>
      </c>
      <c r="W84" s="373">
        <f t="shared" si="125"/>
        <v>0.54946209658869449</v>
      </c>
      <c r="X84" s="373">
        <f t="shared" si="125"/>
        <v>0.28273321410745678</v>
      </c>
      <c r="Y84" s="373">
        <f t="shared" si="125"/>
        <v>0.53377200006675896</v>
      </c>
      <c r="Z84" s="373">
        <f t="shared" si="125"/>
        <v>1.9891225272661925</v>
      </c>
      <c r="AA84" s="373">
        <f t="shared" si="125"/>
        <v>3.4003206796634764</v>
      </c>
      <c r="AB84" s="373">
        <f t="shared" si="125"/>
        <v>5.4361298627165562</v>
      </c>
      <c r="AC84" s="373">
        <f t="shared" si="125"/>
        <v>5.839996168979682</v>
      </c>
      <c r="AD84" s="373">
        <f t="shared" ref="AD84:AM84" si="126">AD39/Z39-1</f>
        <v>3.5527373074644393</v>
      </c>
      <c r="AE84" s="373">
        <f t="shared" si="126"/>
        <v>2.3940628392886532</v>
      </c>
      <c r="AF84" s="374">
        <f t="shared" si="126"/>
        <v>1.9090102976580168</v>
      </c>
      <c r="AG84" s="374">
        <f t="shared" si="126"/>
        <v>1.4062634128398881</v>
      </c>
      <c r="AH84" s="374">
        <f t="shared" si="126"/>
        <v>0.94905017876616582</v>
      </c>
      <c r="AI84" s="374">
        <f t="shared" si="126"/>
        <v>0.8150518532329285</v>
      </c>
      <c r="AJ84" s="374">
        <f t="shared" si="126"/>
        <v>0.72440177234620506</v>
      </c>
      <c r="AK84" s="374">
        <f t="shared" si="126"/>
        <v>0.7416372383513512</v>
      </c>
      <c r="AL84" s="374">
        <f t="shared" si="126"/>
        <v>0.72717774258508427</v>
      </c>
      <c r="AM84" s="374">
        <f t="shared" si="126"/>
        <v>0.58224608715864745</v>
      </c>
      <c r="AN84" s="374">
        <f t="shared" ref="AN84:AS84" si="127">AN39/AJ39-1</f>
        <v>0.52395276323133433</v>
      </c>
      <c r="AO84" s="374">
        <f t="shared" si="127"/>
        <v>0.42682159765221828</v>
      </c>
      <c r="AP84" s="374">
        <f t="shared" si="127"/>
        <v>0.48774795764011025</v>
      </c>
      <c r="AQ84" s="374">
        <f t="shared" si="127"/>
        <v>0.47523215605217173</v>
      </c>
      <c r="AR84" s="374">
        <f t="shared" si="127"/>
        <v>0.33808536119116805</v>
      </c>
      <c r="AS84" s="374">
        <f t="shared" si="127"/>
        <v>0.28698758833411175</v>
      </c>
      <c r="AT84" s="374">
        <f t="shared" ref="AT84:BC84" si="128">AT39/AP39-1</f>
        <v>0.138879686813973</v>
      </c>
      <c r="AU84" s="374">
        <f t="shared" si="128"/>
        <v>0.16844012646773687</v>
      </c>
      <c r="AV84" s="374">
        <f t="shared" si="128"/>
        <v>0.19597824963619659</v>
      </c>
      <c r="AW84" s="374">
        <f t="shared" si="128"/>
        <v>0.17427448570201354</v>
      </c>
      <c r="AX84" s="374">
        <f t="shared" si="128"/>
        <v>0.2158932582735178</v>
      </c>
      <c r="AY84" s="374">
        <f t="shared" si="128"/>
        <v>0.19589303646550604</v>
      </c>
      <c r="AZ84" s="374">
        <f t="shared" si="128"/>
        <v>0.21050615644582948</v>
      </c>
      <c r="BA84" s="374">
        <f t="shared" si="128"/>
        <v>0.24985012279308982</v>
      </c>
      <c r="BB84" s="374">
        <f t="shared" si="128"/>
        <v>0.25969586315934001</v>
      </c>
      <c r="BC84" s="374">
        <f t="shared" si="128"/>
        <v>-0.9987738089644389</v>
      </c>
      <c r="BD84" s="4"/>
      <c r="BE84" s="2"/>
    </row>
    <row r="85" spans="1:57">
      <c r="A85" s="2" t="s">
        <v>121</v>
      </c>
      <c r="B85" s="353"/>
      <c r="C85" s="353"/>
      <c r="D85" s="353"/>
      <c r="E85" s="353"/>
      <c r="F85" s="353"/>
      <c r="G85" s="375" t="s">
        <v>188</v>
      </c>
      <c r="H85" s="353"/>
      <c r="I85" s="353">
        <f t="shared" si="124"/>
        <v>0.25258550849730677</v>
      </c>
      <c r="J85" s="375">
        <f t="shared" si="124"/>
        <v>2.2327519789402994</v>
      </c>
      <c r="K85" s="375">
        <f t="shared" si="124"/>
        <v>1.9822241181554956</v>
      </c>
      <c r="L85" s="375">
        <f t="shared" si="124"/>
        <v>1.893095082833899</v>
      </c>
      <c r="M85" s="375">
        <f t="shared" si="124"/>
        <v>1.4258636019886515</v>
      </c>
      <c r="N85" s="353">
        <f t="shared" si="124"/>
        <v>8.3952660390296918E-2</v>
      </c>
      <c r="O85" s="353">
        <f t="shared" si="124"/>
        <v>0.16671093099137413</v>
      </c>
      <c r="P85" s="353">
        <f t="shared" si="124"/>
        <v>0.24564761504501842</v>
      </c>
      <c r="Q85" s="353">
        <f t="shared" si="124"/>
        <v>0.32347671642810827</v>
      </c>
      <c r="R85" s="353">
        <f t="shared" si="124"/>
        <v>0.30151798540401797</v>
      </c>
      <c r="S85" s="353">
        <f t="shared" si="124"/>
        <v>0.28190964600420276</v>
      </c>
      <c r="T85" s="353">
        <f t="shared" si="124"/>
        <v>0.17705712188710021</v>
      </c>
      <c r="U85" s="353">
        <f t="shared" si="124"/>
        <v>0.11688875077803051</v>
      </c>
      <c r="V85" s="353">
        <f t="shared" ref="V85:Z87" si="129">V40/R40-1</f>
        <v>0.1170891798852951</v>
      </c>
      <c r="W85" s="354">
        <f t="shared" si="129"/>
        <v>4.2113861312010004E-2</v>
      </c>
      <c r="X85" s="354">
        <f t="shared" si="129"/>
        <v>-0.12752337770549871</v>
      </c>
      <c r="Y85" s="354">
        <f t="shared" si="129"/>
        <v>-0.17321006293510088</v>
      </c>
      <c r="Z85" s="354">
        <f t="shared" si="129"/>
        <v>-0.22677957127210024</v>
      </c>
      <c r="AA85" s="360"/>
      <c r="AB85" s="360"/>
      <c r="AC85" s="360"/>
      <c r="AD85" s="360"/>
      <c r="AE85" s="360"/>
      <c r="AF85" s="360"/>
      <c r="AG85" s="360"/>
      <c r="AH85" s="360"/>
      <c r="AI85" s="360"/>
      <c r="AJ85" s="360"/>
      <c r="AK85" s="360"/>
      <c r="AL85" s="360"/>
      <c r="AM85" s="360"/>
      <c r="AN85" s="360"/>
      <c r="AO85" s="360"/>
      <c r="AP85" s="360"/>
      <c r="AQ85" s="360"/>
      <c r="AR85" s="360"/>
      <c r="AS85" s="360"/>
      <c r="AT85" s="360"/>
      <c r="AU85" s="360"/>
      <c r="AV85" s="360"/>
      <c r="AW85" s="360"/>
      <c r="AX85" s="360"/>
      <c r="AY85" s="360"/>
      <c r="AZ85" s="360"/>
      <c r="BA85" s="360"/>
      <c r="BB85" s="360"/>
      <c r="BC85" s="360"/>
      <c r="BD85" s="201"/>
      <c r="BE85" s="14"/>
    </row>
    <row r="86" spans="1:57">
      <c r="A86" s="2" t="s">
        <v>594</v>
      </c>
      <c r="B86" s="353"/>
      <c r="C86" s="353"/>
      <c r="D86" s="353"/>
      <c r="E86" s="353"/>
      <c r="F86" s="353"/>
      <c r="G86" s="353"/>
      <c r="H86" s="353"/>
      <c r="I86" s="353">
        <f t="shared" si="124"/>
        <v>0.75053616560609671</v>
      </c>
      <c r="J86" s="375">
        <f t="shared" si="124"/>
        <v>2.4930139373776998</v>
      </c>
      <c r="K86" s="375">
        <f t="shared" si="124"/>
        <v>2.2188037329827117</v>
      </c>
      <c r="L86" s="375">
        <f t="shared" si="124"/>
        <v>1.7924732419732159</v>
      </c>
      <c r="M86" s="375">
        <f t="shared" si="124"/>
        <v>1.4807428765705803</v>
      </c>
      <c r="N86" s="353">
        <f t="shared" si="124"/>
        <v>0.26241689715754934</v>
      </c>
      <c r="O86" s="353">
        <f t="shared" si="124"/>
        <v>0.31203854487919425</v>
      </c>
      <c r="P86" s="353">
        <f t="shared" si="124"/>
        <v>0.38321133842688182</v>
      </c>
      <c r="Q86" s="353">
        <f t="shared" si="124"/>
        <v>0.41215796605996546</v>
      </c>
      <c r="R86" s="372">
        <f t="shared" si="124"/>
        <v>0.42713094165496868</v>
      </c>
      <c r="S86" s="373">
        <f t="shared" si="124"/>
        <v>0.35856459317763156</v>
      </c>
      <c r="T86" s="373">
        <f t="shared" si="124"/>
        <v>0.35463976581914958</v>
      </c>
      <c r="U86" s="373">
        <f t="shared" si="124"/>
        <v>0.30983282071726936</v>
      </c>
      <c r="V86" s="373">
        <f t="shared" si="129"/>
        <v>0.28081281075218567</v>
      </c>
      <c r="W86" s="373">
        <f t="shared" si="129"/>
        <v>0.30636140457125705</v>
      </c>
      <c r="X86" s="373">
        <f t="shared" si="129"/>
        <v>0.15419169895064289</v>
      </c>
      <c r="Y86" s="373">
        <f t="shared" si="129"/>
        <v>0.54954323127451321</v>
      </c>
      <c r="Z86" s="373">
        <f t="shared" si="129"/>
        <v>1.8881898787216493</v>
      </c>
      <c r="AA86" s="373">
        <f t="shared" ref="AA86:AG86" si="130">AA41/W41-1</f>
        <v>3.0870200879257146</v>
      </c>
      <c r="AB86" s="373">
        <f t="shared" si="130"/>
        <v>4.5009750606833752</v>
      </c>
      <c r="AC86" s="373">
        <f t="shared" si="130"/>
        <v>3.9470987649824192</v>
      </c>
      <c r="AD86" s="373">
        <f t="shared" si="130"/>
        <v>2.0116654720446392</v>
      </c>
      <c r="AE86" s="373">
        <f t="shared" si="130"/>
        <v>1.2560928783756116</v>
      </c>
      <c r="AF86" s="374">
        <f t="shared" si="130"/>
        <v>0.96813213679278487</v>
      </c>
      <c r="AG86" s="374">
        <f t="shared" si="130"/>
        <v>0.67767749401452604</v>
      </c>
      <c r="AH86" s="374">
        <f t="shared" ref="AH86:AM86" si="131">AH41/AD41-1</f>
        <v>0.51700893202143994</v>
      </c>
      <c r="AI86" s="374">
        <f t="shared" si="131"/>
        <v>0.42245912519316442</v>
      </c>
      <c r="AJ86" s="374">
        <f t="shared" si="131"/>
        <v>0.32291592690362192</v>
      </c>
      <c r="AK86" s="374">
        <f t="shared" si="131"/>
        <v>0.35513900755580519</v>
      </c>
      <c r="AL86" s="374">
        <f t="shared" si="131"/>
        <v>0.39599658015457884</v>
      </c>
      <c r="AM86" s="374">
        <f t="shared" si="131"/>
        <v>0.25109040785257997</v>
      </c>
      <c r="AN86" s="374">
        <f t="shared" ref="AN86:AS86" si="132">AN41/AJ41-1</f>
        <v>0.20379168863419994</v>
      </c>
      <c r="AO86" s="374">
        <f t="shared" si="132"/>
        <v>0.1247822867432542</v>
      </c>
      <c r="AP86" s="374">
        <f t="shared" si="132"/>
        <v>0.13672019915310973</v>
      </c>
      <c r="AQ86" s="374">
        <f t="shared" si="132"/>
        <v>0.1618775072921399</v>
      </c>
      <c r="AR86" s="374">
        <f t="shared" si="132"/>
        <v>0.11694639122400718</v>
      </c>
      <c r="AS86" s="374">
        <f t="shared" si="132"/>
        <v>0.14185064557039984</v>
      </c>
      <c r="AT86" s="374">
        <f t="shared" ref="AT86:BC86" si="133">AT41/AP41-1</f>
        <v>2.8063522512918881E-2</v>
      </c>
      <c r="AU86" s="374">
        <f t="shared" si="133"/>
        <v>6.3251346219706406E-2</v>
      </c>
      <c r="AV86" s="374">
        <f t="shared" si="133"/>
        <v>8.3591614213494481E-2</v>
      </c>
      <c r="AW86" s="374">
        <f t="shared" si="133"/>
        <v>5.4442264125775353E-2</v>
      </c>
      <c r="AX86" s="374">
        <f t="shared" si="133"/>
        <v>8.5346320246678875E-2</v>
      </c>
      <c r="AY86" s="374">
        <f t="shared" si="133"/>
        <v>7.0523711251325505E-2</v>
      </c>
      <c r="AZ86" s="374">
        <f t="shared" si="133"/>
        <v>8.1899353637536532E-2</v>
      </c>
      <c r="BA86" s="374">
        <f t="shared" si="133"/>
        <v>0.11457873391274753</v>
      </c>
      <c r="BB86" s="374">
        <f t="shared" si="133"/>
        <v>0.12398930546308051</v>
      </c>
      <c r="BC86" s="374">
        <f t="shared" si="133"/>
        <v>0.10126605387901089</v>
      </c>
      <c r="BD86" s="4"/>
      <c r="BE86" s="2"/>
    </row>
    <row r="87" spans="1:57">
      <c r="A87" s="2" t="s">
        <v>123</v>
      </c>
      <c r="B87" s="353"/>
      <c r="C87" s="353"/>
      <c r="D87" s="353"/>
      <c r="E87" s="353"/>
      <c r="F87" s="353"/>
      <c r="G87" s="353"/>
      <c r="H87" s="353"/>
      <c r="I87" s="353">
        <f t="shared" si="124"/>
        <v>-0.28445608088101526</v>
      </c>
      <c r="J87" s="353">
        <f t="shared" si="124"/>
        <v>-7.4804221210119204E-2</v>
      </c>
      <c r="K87" s="353">
        <f t="shared" si="124"/>
        <v>-7.3499235881644864E-2</v>
      </c>
      <c r="L87" s="353">
        <f t="shared" si="124"/>
        <v>3.603323367552913E-2</v>
      </c>
      <c r="M87" s="353">
        <f t="shared" si="124"/>
        <v>-2.212211313805923E-2</v>
      </c>
      <c r="N87" s="353">
        <f t="shared" si="124"/>
        <v>-0.1413671166546342</v>
      </c>
      <c r="O87" s="353">
        <f t="shared" si="124"/>
        <v>-0.11076474426382144</v>
      </c>
      <c r="P87" s="353">
        <f t="shared" si="124"/>
        <v>-9.9452426075623546E-2</v>
      </c>
      <c r="Q87" s="353">
        <f t="shared" si="124"/>
        <v>-6.2798392080232524E-2</v>
      </c>
      <c r="R87" s="353">
        <f t="shared" si="124"/>
        <v>-8.8017821339704483E-2</v>
      </c>
      <c r="S87" s="353">
        <f t="shared" si="124"/>
        <v>-5.6423483696226739E-2</v>
      </c>
      <c r="T87" s="353">
        <f t="shared" si="124"/>
        <v>-0.13109215336275371</v>
      </c>
      <c r="U87" s="353">
        <f t="shared" si="124"/>
        <v>-0.14730434822482319</v>
      </c>
      <c r="V87" s="353">
        <f t="shared" si="129"/>
        <v>-0.12782791481507705</v>
      </c>
      <c r="W87" s="354">
        <f t="shared" si="129"/>
        <v>-0.20227751856001286</v>
      </c>
      <c r="X87" s="354">
        <f t="shared" si="129"/>
        <v>-0.24407997121472014</v>
      </c>
      <c r="Y87" s="354">
        <f t="shared" si="129"/>
        <v>-0.46642989987129502</v>
      </c>
      <c r="Z87" s="354">
        <f t="shared" si="129"/>
        <v>-0.7322819962688405</v>
      </c>
      <c r="AA87" s="360"/>
      <c r="AB87" s="360"/>
      <c r="AC87" s="360"/>
      <c r="AD87" s="360"/>
      <c r="AE87" s="360"/>
      <c r="AF87" s="360"/>
      <c r="AG87" s="360"/>
      <c r="AH87" s="360"/>
      <c r="AI87" s="360"/>
      <c r="AJ87" s="360"/>
      <c r="AK87" s="360"/>
      <c r="AL87" s="360"/>
      <c r="AM87" s="360"/>
      <c r="AN87" s="360"/>
      <c r="AO87" s="360"/>
      <c r="AP87" s="360"/>
      <c r="AQ87" s="360"/>
      <c r="AR87" s="360"/>
      <c r="AS87" s="360"/>
      <c r="AT87" s="360"/>
      <c r="AU87" s="360"/>
      <c r="AV87" s="360"/>
      <c r="AW87" s="360"/>
      <c r="AX87" s="360"/>
      <c r="AY87" s="360"/>
      <c r="AZ87" s="360"/>
      <c r="BA87" s="360"/>
      <c r="BB87" s="360"/>
      <c r="BC87" s="360"/>
      <c r="BD87" s="201"/>
      <c r="BE87" s="14"/>
    </row>
    <row r="88" spans="1:57">
      <c r="A88" s="2" t="s">
        <v>124</v>
      </c>
      <c r="B88" s="353"/>
      <c r="C88" s="353"/>
      <c r="D88" s="353"/>
      <c r="E88" s="353"/>
      <c r="F88" s="353">
        <f t="shared" ref="F88:Y88" si="134">F42/E42-1</f>
        <v>-0.13694417151977034</v>
      </c>
      <c r="G88" s="353">
        <f t="shared" si="134"/>
        <v>-8.292212870467297E-2</v>
      </c>
      <c r="H88" s="353">
        <f t="shared" si="134"/>
        <v>-9.429272031733904E-2</v>
      </c>
      <c r="I88" s="353">
        <f t="shared" si="134"/>
        <v>-1.8327124510252313E-3</v>
      </c>
      <c r="J88" s="353">
        <f t="shared" si="134"/>
        <v>0.11592816043082532</v>
      </c>
      <c r="K88" s="353">
        <f t="shared" si="134"/>
        <v>-8.1628593655611037E-2</v>
      </c>
      <c r="L88" s="353">
        <f t="shared" si="134"/>
        <v>1.27815087405867E-2</v>
      </c>
      <c r="M88" s="353">
        <f t="shared" si="134"/>
        <v>-5.7862541319979699E-2</v>
      </c>
      <c r="N88" s="353">
        <f t="shared" si="134"/>
        <v>-2.0151056823839775E-2</v>
      </c>
      <c r="O88" s="353">
        <f t="shared" si="134"/>
        <v>-4.8897091851805685E-2</v>
      </c>
      <c r="P88" s="353">
        <f t="shared" si="134"/>
        <v>2.566550834371939E-2</v>
      </c>
      <c r="Q88" s="353">
        <f t="shared" si="134"/>
        <v>-1.951571829951293E-2</v>
      </c>
      <c r="R88" s="353">
        <f t="shared" si="134"/>
        <v>-4.6518095568309104E-2</v>
      </c>
      <c r="S88" s="353">
        <f t="shared" si="134"/>
        <v>-1.5947471654325085E-2</v>
      </c>
      <c r="T88" s="353">
        <f t="shared" si="134"/>
        <v>-5.5499164269022905E-2</v>
      </c>
      <c r="U88" s="353">
        <f t="shared" si="134"/>
        <v>-3.780972070223354E-2</v>
      </c>
      <c r="V88" s="353">
        <f>V42/U42-1</f>
        <v>-2.4739601940012679E-2</v>
      </c>
      <c r="W88" s="354">
        <f t="shared" si="134"/>
        <v>-9.9947317606748798E-2</v>
      </c>
      <c r="X88" s="354">
        <f t="shared" si="134"/>
        <v>-0.10499313289418299</v>
      </c>
      <c r="Y88" s="354">
        <f t="shared" si="134"/>
        <v>-0.32083296629568903</v>
      </c>
      <c r="Z88" s="354">
        <f>Z42/Y42-1</f>
        <v>-0.5106645465634303</v>
      </c>
      <c r="AA88" s="360"/>
      <c r="AB88" s="360"/>
      <c r="AC88" s="360"/>
      <c r="AD88" s="360"/>
      <c r="AE88" s="360"/>
      <c r="AF88" s="360"/>
      <c r="AG88" s="360"/>
      <c r="AH88" s="360"/>
      <c r="AI88" s="360"/>
      <c r="AJ88" s="360"/>
      <c r="AK88" s="360"/>
      <c r="AL88" s="360"/>
      <c r="AM88" s="360"/>
      <c r="AN88" s="360"/>
      <c r="AO88" s="360"/>
      <c r="AP88" s="360"/>
      <c r="AQ88" s="360"/>
      <c r="AR88" s="360"/>
      <c r="AS88" s="360"/>
      <c r="AT88" s="360"/>
      <c r="AU88" s="360"/>
      <c r="AV88" s="360"/>
      <c r="AW88" s="360"/>
      <c r="AX88" s="360"/>
      <c r="AY88" s="360"/>
      <c r="AZ88" s="360"/>
      <c r="BA88" s="360"/>
      <c r="BB88" s="360"/>
      <c r="BC88" s="360"/>
      <c r="BD88" s="201"/>
      <c r="BE88" s="14"/>
    </row>
    <row r="89" spans="1:57" s="193" customFormat="1">
      <c r="A89" s="3"/>
      <c r="B89" s="376"/>
      <c r="C89" s="376"/>
      <c r="D89" s="376"/>
      <c r="E89" s="376"/>
      <c r="F89" s="376"/>
      <c r="G89" s="376"/>
      <c r="H89" s="376"/>
      <c r="I89" s="376"/>
      <c r="J89" s="376"/>
      <c r="K89" s="376"/>
      <c r="L89" s="376"/>
      <c r="M89" s="376"/>
      <c r="N89" s="376"/>
      <c r="O89" s="376"/>
      <c r="P89" s="376"/>
      <c r="Q89" s="376"/>
      <c r="R89" s="376"/>
      <c r="S89" s="376"/>
      <c r="T89" s="376"/>
      <c r="U89" s="376"/>
      <c r="V89" s="376"/>
      <c r="W89" s="377"/>
      <c r="X89" s="377"/>
      <c r="Y89" s="377"/>
      <c r="Z89" s="377"/>
      <c r="AA89" s="377"/>
      <c r="AB89" s="377"/>
      <c r="AC89" s="377"/>
      <c r="AD89" s="377"/>
      <c r="AE89" s="377"/>
      <c r="AF89" s="378"/>
      <c r="AG89" s="378"/>
      <c r="AH89" s="378"/>
      <c r="AI89" s="378"/>
      <c r="AJ89" s="378"/>
      <c r="AK89" s="378"/>
      <c r="AL89" s="378"/>
      <c r="AM89" s="378"/>
      <c r="AN89" s="378"/>
      <c r="AO89" s="378"/>
      <c r="AP89" s="378"/>
      <c r="AQ89" s="378"/>
      <c r="AR89" s="378"/>
      <c r="AS89" s="378"/>
      <c r="AT89" s="378"/>
      <c r="AU89" s="378"/>
      <c r="AV89" s="378"/>
      <c r="AW89" s="378"/>
      <c r="AX89" s="378"/>
      <c r="AY89" s="378"/>
      <c r="AZ89" s="378"/>
      <c r="BA89" s="378"/>
      <c r="BB89" s="378"/>
      <c r="BC89" s="378"/>
      <c r="BD89" s="192"/>
      <c r="BE89" s="2"/>
    </row>
    <row r="90" spans="1:57">
      <c r="A90" s="2" t="s">
        <v>475</v>
      </c>
      <c r="B90" s="353"/>
      <c r="C90" s="353"/>
      <c r="D90" s="353"/>
      <c r="E90" s="353"/>
      <c r="F90" s="353">
        <f t="shared" ref="F90:X90" si="135">F40/E40-1</f>
        <v>-9.508531313648827E-2</v>
      </c>
      <c r="G90" s="353">
        <f t="shared" si="135"/>
        <v>9.1143047421383683E-2</v>
      </c>
      <c r="H90" s="353">
        <f t="shared" si="135"/>
        <v>9.3068392114099563E-2</v>
      </c>
      <c r="I90" s="353">
        <f t="shared" si="135"/>
        <v>0.1605683430995597</v>
      </c>
      <c r="J90" s="375">
        <f>J40/I40-1</f>
        <v>1.3354611121436655</v>
      </c>
      <c r="K90" s="353">
        <f t="shared" si="135"/>
        <v>6.5829774681362974E-3</v>
      </c>
      <c r="L90" s="353">
        <f t="shared" si="135"/>
        <v>6.0400112511453496E-2</v>
      </c>
      <c r="M90" s="353">
        <f t="shared" si="135"/>
        <v>-2.6862090412968942E-2</v>
      </c>
      <c r="N90" s="353">
        <f t="shared" si="135"/>
        <v>4.3557965778016072E-2</v>
      </c>
      <c r="O90" s="353">
        <f t="shared" si="135"/>
        <v>8.3434180916219791E-2</v>
      </c>
      <c r="P90" s="353">
        <f t="shared" si="135"/>
        <v>0.13214407790024119</v>
      </c>
      <c r="Q90" s="353">
        <f t="shared" si="135"/>
        <v>3.3940377403934407E-2</v>
      </c>
      <c r="R90" s="353">
        <f t="shared" si="135"/>
        <v>2.6243563194182418E-2</v>
      </c>
      <c r="S90" s="353">
        <f t="shared" si="135"/>
        <v>6.7111436724428097E-2</v>
      </c>
      <c r="T90" s="353">
        <f t="shared" si="135"/>
        <v>3.9541479423748749E-2</v>
      </c>
      <c r="U90" s="353">
        <f t="shared" si="135"/>
        <v>-1.8912204833156698E-2</v>
      </c>
      <c r="V90" s="353">
        <f>V40/U40-1</f>
        <v>2.6427725744896602E-2</v>
      </c>
      <c r="W90" s="354">
        <f t="shared" si="135"/>
        <v>-4.509541584416743E-3</v>
      </c>
      <c r="X90" s="354">
        <f t="shared" si="135"/>
        <v>-0.12967702246970536</v>
      </c>
      <c r="Y90" s="354">
        <f>Y40/X40-1</f>
        <v>-7.0286245277374149E-2</v>
      </c>
      <c r="Z90" s="354">
        <f>Z40/Y40-1</f>
        <v>-4.0076746729473256E-2</v>
      </c>
      <c r="AA90" s="360"/>
      <c r="AB90" s="360"/>
      <c r="AC90" s="360"/>
      <c r="AD90" s="360"/>
      <c r="AE90" s="360"/>
      <c r="AF90" s="360"/>
      <c r="AG90" s="360"/>
      <c r="AH90" s="360"/>
      <c r="AI90" s="360"/>
      <c r="AJ90" s="360"/>
      <c r="AK90" s="360"/>
      <c r="AL90" s="360"/>
      <c r="AM90" s="360"/>
      <c r="AN90" s="360"/>
      <c r="AO90" s="360"/>
      <c r="AP90" s="360"/>
      <c r="AQ90" s="360"/>
      <c r="AR90" s="360"/>
      <c r="AS90" s="360"/>
      <c r="AT90" s="360"/>
      <c r="AU90" s="360"/>
      <c r="AV90" s="360"/>
      <c r="AW90" s="360"/>
      <c r="AX90" s="360"/>
      <c r="AY90" s="360"/>
      <c r="AZ90" s="360"/>
      <c r="BA90" s="360"/>
      <c r="BB90" s="360"/>
      <c r="BC90" s="360"/>
      <c r="BD90" s="201"/>
      <c r="BE90" s="14"/>
    </row>
    <row r="91" spans="1:57">
      <c r="A91" s="2" t="s">
        <v>476</v>
      </c>
      <c r="B91" s="321"/>
      <c r="C91" s="321"/>
      <c r="D91" s="321"/>
      <c r="E91" s="321"/>
      <c r="F91" s="353">
        <f t="shared" ref="F91:X91" si="136">F42/E42-1</f>
        <v>-0.13694417151977034</v>
      </c>
      <c r="G91" s="353">
        <f t="shared" si="136"/>
        <v>-8.292212870467297E-2</v>
      </c>
      <c r="H91" s="353">
        <f t="shared" si="136"/>
        <v>-9.429272031733904E-2</v>
      </c>
      <c r="I91" s="353">
        <f t="shared" si="136"/>
        <v>-1.8327124510252313E-3</v>
      </c>
      <c r="J91" s="353">
        <f t="shared" si="136"/>
        <v>0.11592816043082532</v>
      </c>
      <c r="K91" s="353">
        <f t="shared" si="136"/>
        <v>-8.1628593655611037E-2</v>
      </c>
      <c r="L91" s="353">
        <f t="shared" si="136"/>
        <v>1.27815087405867E-2</v>
      </c>
      <c r="M91" s="353">
        <f t="shared" si="136"/>
        <v>-5.7862541319979699E-2</v>
      </c>
      <c r="N91" s="353">
        <f t="shared" si="136"/>
        <v>-2.0151056823839775E-2</v>
      </c>
      <c r="O91" s="353">
        <f t="shared" si="136"/>
        <v>-4.8897091851805685E-2</v>
      </c>
      <c r="P91" s="353">
        <f t="shared" si="136"/>
        <v>2.566550834371939E-2</v>
      </c>
      <c r="Q91" s="353">
        <f t="shared" si="136"/>
        <v>-1.951571829951293E-2</v>
      </c>
      <c r="R91" s="353">
        <f t="shared" si="136"/>
        <v>-4.6518095568309104E-2</v>
      </c>
      <c r="S91" s="353">
        <f t="shared" si="136"/>
        <v>-1.5947471654325085E-2</v>
      </c>
      <c r="T91" s="353">
        <f t="shared" si="136"/>
        <v>-5.5499164269022905E-2</v>
      </c>
      <c r="U91" s="353">
        <f t="shared" si="136"/>
        <v>-3.780972070223354E-2</v>
      </c>
      <c r="V91" s="353">
        <f>V42/U42-1</f>
        <v>-2.4739601940012679E-2</v>
      </c>
      <c r="W91" s="354">
        <f t="shared" si="136"/>
        <v>-9.9947317606748798E-2</v>
      </c>
      <c r="X91" s="354">
        <f t="shared" si="136"/>
        <v>-0.10499313289418299</v>
      </c>
      <c r="Y91" s="354">
        <f>Y42/X42-1</f>
        <v>-0.32083296629568903</v>
      </c>
      <c r="Z91" s="354">
        <f>Z42/Y42-1</f>
        <v>-0.5106645465634303</v>
      </c>
      <c r="AA91" s="360"/>
      <c r="AB91" s="360"/>
      <c r="AC91" s="360"/>
      <c r="AD91" s="360"/>
      <c r="AE91" s="360"/>
      <c r="AF91" s="360"/>
      <c r="AG91" s="360"/>
      <c r="AH91" s="360"/>
      <c r="AI91" s="360"/>
      <c r="AJ91" s="360"/>
      <c r="AK91" s="360"/>
      <c r="AL91" s="360"/>
      <c r="AM91" s="360"/>
      <c r="AN91" s="360"/>
      <c r="AO91" s="360"/>
      <c r="AP91" s="360"/>
      <c r="AQ91" s="360"/>
      <c r="AR91" s="360"/>
      <c r="AS91" s="360"/>
      <c r="AT91" s="360"/>
      <c r="AU91" s="360"/>
      <c r="AV91" s="360"/>
      <c r="AW91" s="360"/>
      <c r="AX91" s="360"/>
      <c r="AY91" s="360"/>
      <c r="AZ91" s="360"/>
      <c r="BA91" s="360"/>
      <c r="BB91" s="360"/>
      <c r="BC91" s="360"/>
      <c r="BD91" s="201"/>
      <c r="BE91" s="14"/>
    </row>
    <row r="92" spans="1:57">
      <c r="A92" s="2"/>
      <c r="B92" s="321"/>
      <c r="C92" s="321"/>
      <c r="D92" s="321"/>
      <c r="E92" s="321"/>
      <c r="F92" s="353"/>
      <c r="G92" s="353"/>
      <c r="H92" s="353"/>
      <c r="I92" s="353"/>
      <c r="J92" s="353"/>
      <c r="K92" s="353"/>
      <c r="L92" s="353"/>
      <c r="M92" s="353"/>
      <c r="N92" s="353"/>
      <c r="O92" s="353"/>
      <c r="P92" s="353"/>
      <c r="Q92" s="353"/>
      <c r="R92" s="353"/>
      <c r="S92" s="353"/>
      <c r="T92" s="353"/>
      <c r="U92" s="353"/>
      <c r="V92" s="353"/>
      <c r="W92" s="354"/>
      <c r="X92" s="354"/>
      <c r="Y92" s="354"/>
      <c r="Z92" s="354"/>
      <c r="AA92" s="354"/>
      <c r="AB92" s="354"/>
      <c r="AC92" s="354"/>
      <c r="AD92" s="354"/>
      <c r="AE92" s="354"/>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2"/>
      <c r="BE92" s="2"/>
    </row>
    <row r="93" spans="1:57">
      <c r="A93" s="2" t="s">
        <v>508</v>
      </c>
      <c r="B93" s="321"/>
      <c r="C93" s="321"/>
      <c r="D93" s="321"/>
      <c r="E93" s="321"/>
      <c r="F93" s="353"/>
      <c r="G93" s="353"/>
      <c r="H93" s="353"/>
      <c r="I93" s="353"/>
      <c r="J93" s="353"/>
      <c r="K93" s="353"/>
      <c r="L93" s="353"/>
      <c r="M93" s="353"/>
      <c r="N93" s="353"/>
      <c r="O93" s="353"/>
      <c r="P93" s="353"/>
      <c r="Q93" s="353"/>
      <c r="R93" s="353"/>
      <c r="S93" s="353"/>
      <c r="T93" s="353"/>
      <c r="U93" s="353"/>
      <c r="V93" s="353"/>
      <c r="W93" s="354"/>
      <c r="X93" s="354"/>
      <c r="Y93" s="354"/>
      <c r="Z93" s="354"/>
      <c r="AA93" s="354"/>
      <c r="AB93" s="354"/>
      <c r="AC93" s="354"/>
      <c r="AD93" s="354"/>
      <c r="AE93" s="354"/>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2"/>
      <c r="BE93" s="2"/>
    </row>
    <row r="94" spans="1:57">
      <c r="A94" s="2" t="s">
        <v>509</v>
      </c>
      <c r="B94" s="321"/>
      <c r="C94" s="321"/>
      <c r="D94" s="321"/>
      <c r="E94" s="321"/>
      <c r="F94" s="379">
        <f t="shared" ref="F94:AO94" si="137">F51*1000/AVERAGE(F4,E4)/3</f>
        <v>154.83609212759009</v>
      </c>
      <c r="G94" s="379">
        <f t="shared" si="137"/>
        <v>147.25452915028544</v>
      </c>
      <c r="H94" s="379">
        <f t="shared" si="137"/>
        <v>152.91791422630067</v>
      </c>
      <c r="I94" s="379">
        <f t="shared" si="137"/>
        <v>159.45453910205319</v>
      </c>
      <c r="J94" s="379">
        <f t="shared" si="137"/>
        <v>166.14689889670606</v>
      </c>
      <c r="K94" s="379">
        <f t="shared" si="137"/>
        <v>160.34765331646602</v>
      </c>
      <c r="L94" s="379">
        <f t="shared" si="137"/>
        <v>161.46963412377269</v>
      </c>
      <c r="M94" s="379">
        <f t="shared" si="137"/>
        <v>162.38590819260702</v>
      </c>
      <c r="N94" s="379">
        <f t="shared" si="137"/>
        <v>165.71896642178925</v>
      </c>
      <c r="O94" s="379">
        <f t="shared" si="137"/>
        <v>157.43188047844208</v>
      </c>
      <c r="P94" s="379">
        <f t="shared" si="137"/>
        <v>156.61186433905598</v>
      </c>
      <c r="Q94" s="379">
        <f t="shared" si="137"/>
        <v>151.38482425719789</v>
      </c>
      <c r="R94" s="379">
        <f t="shared" si="137"/>
        <v>148.28773615789689</v>
      </c>
      <c r="S94" s="379">
        <f t="shared" si="137"/>
        <v>139.59977939234113</v>
      </c>
      <c r="T94" s="379">
        <f t="shared" si="137"/>
        <v>136.58986896602141</v>
      </c>
      <c r="U94" s="379">
        <f t="shared" si="137"/>
        <v>138.05655390696839</v>
      </c>
      <c r="V94" s="379">
        <f t="shared" si="137"/>
        <v>138.63963077069107</v>
      </c>
      <c r="W94" s="380">
        <f t="shared" si="137"/>
        <v>131.35440531560138</v>
      </c>
      <c r="X94" s="380">
        <f t="shared" si="137"/>
        <v>123.17232235215192</v>
      </c>
      <c r="Y94" s="380">
        <f t="shared" si="137"/>
        <v>114.39334635345705</v>
      </c>
      <c r="Z94" s="380">
        <f t="shared" si="137"/>
        <v>111.52203282299057</v>
      </c>
      <c r="AA94" s="380">
        <f t="shared" si="137"/>
        <v>0</v>
      </c>
      <c r="AB94" s="380">
        <f t="shared" si="137"/>
        <v>0</v>
      </c>
      <c r="AC94" s="380">
        <f t="shared" si="137"/>
        <v>0</v>
      </c>
      <c r="AD94" s="380">
        <f t="shared" si="137"/>
        <v>0</v>
      </c>
      <c r="AE94" s="380">
        <f t="shared" si="137"/>
        <v>0</v>
      </c>
      <c r="AF94" s="381">
        <f t="shared" si="137"/>
        <v>0</v>
      </c>
      <c r="AG94" s="381">
        <f t="shared" si="137"/>
        <v>0</v>
      </c>
      <c r="AH94" s="381">
        <f t="shared" si="137"/>
        <v>0</v>
      </c>
      <c r="AI94" s="381">
        <f t="shared" si="137"/>
        <v>0</v>
      </c>
      <c r="AJ94" s="381">
        <f t="shared" si="137"/>
        <v>0</v>
      </c>
      <c r="AK94" s="381">
        <f t="shared" si="137"/>
        <v>0</v>
      </c>
      <c r="AL94" s="381">
        <f t="shared" si="137"/>
        <v>0</v>
      </c>
      <c r="AM94" s="381">
        <f t="shared" si="137"/>
        <v>0</v>
      </c>
      <c r="AN94" s="381">
        <f t="shared" si="137"/>
        <v>0</v>
      </c>
      <c r="AO94" s="381">
        <f t="shared" si="137"/>
        <v>0</v>
      </c>
      <c r="AP94" s="381">
        <f t="shared" ref="AP94:BC94" si="138">AP51*1000/AVERAGE(AP4,AO4)/3</f>
        <v>0</v>
      </c>
      <c r="AQ94" s="381">
        <f t="shared" si="138"/>
        <v>0</v>
      </c>
      <c r="AR94" s="381">
        <f t="shared" si="138"/>
        <v>0</v>
      </c>
      <c r="AS94" s="381">
        <f t="shared" si="138"/>
        <v>0</v>
      </c>
      <c r="AT94" s="381">
        <f t="shared" si="138"/>
        <v>0</v>
      </c>
      <c r="AU94" s="381">
        <f t="shared" si="138"/>
        <v>0</v>
      </c>
      <c r="AV94" s="381">
        <f t="shared" si="138"/>
        <v>0</v>
      </c>
      <c r="AW94" s="381">
        <f t="shared" si="138"/>
        <v>0</v>
      </c>
      <c r="AX94" s="381">
        <f t="shared" si="138"/>
        <v>0</v>
      </c>
      <c r="AY94" s="381">
        <f t="shared" si="138"/>
        <v>0</v>
      </c>
      <c r="AZ94" s="381">
        <f t="shared" si="138"/>
        <v>0</v>
      </c>
      <c r="BA94" s="381">
        <f t="shared" si="138"/>
        <v>0</v>
      </c>
      <c r="BB94" s="381">
        <f t="shared" si="138"/>
        <v>0</v>
      </c>
      <c r="BC94" s="381">
        <f t="shared" si="138"/>
        <v>0</v>
      </c>
      <c r="BD94" s="2"/>
      <c r="BE94" s="2"/>
    </row>
    <row r="95" spans="1:57">
      <c r="A95" s="2" t="s">
        <v>127</v>
      </c>
      <c r="B95" s="321"/>
      <c r="C95" s="321"/>
      <c r="D95" s="321"/>
      <c r="E95" s="321"/>
      <c r="F95" s="379">
        <f t="shared" ref="F95:Z95" si="139">F53*1000/AVERAGE(F4,E4)/3</f>
        <v>7.9742162180194649</v>
      </c>
      <c r="G95" s="379">
        <f t="shared" si="139"/>
        <v>9.1206132900611525</v>
      </c>
      <c r="H95" s="379">
        <f t="shared" si="139"/>
        <v>10.467813098627701</v>
      </c>
      <c r="I95" s="379">
        <f t="shared" si="139"/>
        <v>12.608805234724132</v>
      </c>
      <c r="J95" s="379">
        <f t="shared" si="139"/>
        <v>16.299094209523307</v>
      </c>
      <c r="K95" s="379">
        <f t="shared" si="139"/>
        <v>18.010551384678717</v>
      </c>
      <c r="L95" s="379">
        <f t="shared" si="139"/>
        <v>20.630802050888715</v>
      </c>
      <c r="M95" s="379">
        <f t="shared" si="139"/>
        <v>22.503964633473913</v>
      </c>
      <c r="N95" s="379">
        <f t="shared" si="139"/>
        <v>25.055376012830148</v>
      </c>
      <c r="O95" s="379">
        <f t="shared" si="139"/>
        <v>28.568334601904411</v>
      </c>
      <c r="P95" s="379">
        <f t="shared" si="139"/>
        <v>32.855533663923914</v>
      </c>
      <c r="Q95" s="379">
        <f t="shared" si="139"/>
        <v>34.947884620728921</v>
      </c>
      <c r="R95" s="379">
        <f t="shared" si="139"/>
        <v>38.085986993078819</v>
      </c>
      <c r="S95" s="379">
        <f t="shared" si="139"/>
        <v>41.400553592229414</v>
      </c>
      <c r="T95" s="379">
        <f t="shared" si="139"/>
        <v>44.35874338864982</v>
      </c>
      <c r="U95" s="379">
        <f t="shared" si="139"/>
        <v>45.251731477186148</v>
      </c>
      <c r="V95" s="379">
        <f t="shared" si="139"/>
        <v>46.353401422862021</v>
      </c>
      <c r="W95" s="380">
        <f t="shared" si="139"/>
        <v>46.23071875935463</v>
      </c>
      <c r="X95" s="380">
        <f t="shared" si="139"/>
        <v>39.143487172366328</v>
      </c>
      <c r="Y95" s="380">
        <f t="shared" si="139"/>
        <v>33.945715155879235</v>
      </c>
      <c r="Z95" s="380">
        <f t="shared" si="139"/>
        <v>33.92698710765719</v>
      </c>
      <c r="AA95" s="360"/>
      <c r="AB95" s="360"/>
      <c r="AC95" s="360"/>
      <c r="AD95" s="360"/>
      <c r="AE95" s="360"/>
      <c r="AF95" s="360"/>
      <c r="AG95" s="360"/>
      <c r="AH95" s="360"/>
      <c r="AI95" s="360"/>
      <c r="AJ95" s="360"/>
      <c r="AK95" s="360"/>
      <c r="AL95" s="360"/>
      <c r="AM95" s="360"/>
      <c r="AN95" s="360"/>
      <c r="AO95" s="360"/>
      <c r="AP95" s="360"/>
      <c r="AQ95" s="360"/>
      <c r="AR95" s="360"/>
      <c r="AS95" s="360"/>
      <c r="AT95" s="360"/>
      <c r="AU95" s="360"/>
      <c r="AV95" s="360"/>
      <c r="AW95" s="360"/>
      <c r="AX95" s="360"/>
      <c r="AY95" s="360"/>
      <c r="AZ95" s="360"/>
      <c r="BA95" s="360"/>
      <c r="BB95" s="360"/>
      <c r="BC95" s="360"/>
      <c r="BD95" s="201"/>
      <c r="BE95" s="14"/>
    </row>
    <row r="96" spans="1:57">
      <c r="A96" s="2" t="s">
        <v>510</v>
      </c>
      <c r="B96" s="321"/>
      <c r="C96" s="321"/>
      <c r="D96" s="321"/>
      <c r="E96" s="321"/>
      <c r="F96" s="379">
        <f t="shared" ref="F96:Z96" si="140">(F52)*1000/AVERAGE(F4,E4)/3</f>
        <v>19.979118636278326</v>
      </c>
      <c r="G96" s="379">
        <f t="shared" si="140"/>
        <v>17.85484528780546</v>
      </c>
      <c r="H96" s="379">
        <f t="shared" si="140"/>
        <v>18.27719559424829</v>
      </c>
      <c r="I96" s="379">
        <f t="shared" si="140"/>
        <v>17.479201408241128</v>
      </c>
      <c r="J96" s="379">
        <f t="shared" si="140"/>
        <v>16.632998528467208</v>
      </c>
      <c r="K96" s="379">
        <f t="shared" si="140"/>
        <v>12.868092334419748</v>
      </c>
      <c r="L96" s="379">
        <f t="shared" si="140"/>
        <v>11.809127161907002</v>
      </c>
      <c r="M96" s="379">
        <f t="shared" si="140"/>
        <v>10.992569439414693</v>
      </c>
      <c r="N96" s="379">
        <f t="shared" si="140"/>
        <v>11.080535174856372</v>
      </c>
      <c r="O96" s="379">
        <f t="shared" si="140"/>
        <v>10.666497030362486</v>
      </c>
      <c r="P96" s="379">
        <f t="shared" si="140"/>
        <v>12.044480292128638</v>
      </c>
      <c r="Q96" s="379">
        <f t="shared" si="140"/>
        <v>11.281393119771009</v>
      </c>
      <c r="R96" s="379">
        <f t="shared" si="140"/>
        <v>11.285160746951503</v>
      </c>
      <c r="S96" s="379">
        <f t="shared" si="140"/>
        <v>10.41224038078108</v>
      </c>
      <c r="T96" s="379">
        <f t="shared" si="140"/>
        <v>10.240900227774233</v>
      </c>
      <c r="U96" s="379">
        <f t="shared" si="140"/>
        <v>10.005715239381765</v>
      </c>
      <c r="V96" s="379">
        <f t="shared" si="140"/>
        <v>9.8643632029054853</v>
      </c>
      <c r="W96" s="380">
        <f t="shared" si="140"/>
        <v>9.203045115765093</v>
      </c>
      <c r="X96" s="380">
        <f t="shared" si="140"/>
        <v>8.9292021274530491</v>
      </c>
      <c r="Y96" s="380">
        <f t="shared" si="140"/>
        <v>8.6093433870193046</v>
      </c>
      <c r="Z96" s="380">
        <f t="shared" si="140"/>
        <v>8.5428551671774517</v>
      </c>
      <c r="AA96" s="360"/>
      <c r="AB96" s="360"/>
      <c r="AC96" s="360"/>
      <c r="AD96" s="360"/>
      <c r="AE96" s="360"/>
      <c r="AF96" s="360"/>
      <c r="AG96" s="360"/>
      <c r="AH96" s="360"/>
      <c r="AI96" s="360"/>
      <c r="AJ96" s="360"/>
      <c r="AK96" s="360"/>
      <c r="AL96" s="360"/>
      <c r="AM96" s="360"/>
      <c r="AN96" s="360"/>
      <c r="AO96" s="360"/>
      <c r="AP96" s="360"/>
      <c r="AQ96" s="360"/>
      <c r="AR96" s="360"/>
      <c r="AS96" s="360"/>
      <c r="AT96" s="360"/>
      <c r="AU96" s="360"/>
      <c r="AV96" s="360"/>
      <c r="AW96" s="360"/>
      <c r="AX96" s="360"/>
      <c r="AY96" s="360"/>
      <c r="AZ96" s="360"/>
      <c r="BA96" s="360"/>
      <c r="BB96" s="360"/>
      <c r="BC96" s="360"/>
      <c r="BD96" s="201"/>
      <c r="BE96" s="14"/>
    </row>
    <row r="97" spans="1:57">
      <c r="A97" s="2" t="s">
        <v>107</v>
      </c>
      <c r="B97" s="321"/>
      <c r="C97" s="321"/>
      <c r="D97" s="321"/>
      <c r="E97" s="321"/>
      <c r="F97" s="379">
        <f t="shared" ref="F97:Z97" si="141">(F54)*1000/AVERAGE(F4,E4)/3</f>
        <v>2.2843090741113117</v>
      </c>
      <c r="G97" s="379">
        <f t="shared" si="141"/>
        <v>2.7342713578062967</v>
      </c>
      <c r="H97" s="379">
        <f t="shared" si="141"/>
        <v>3.1517796441275592</v>
      </c>
      <c r="I97" s="379">
        <f t="shared" si="141"/>
        <v>3.4572008444611106</v>
      </c>
      <c r="J97" s="379">
        <f t="shared" si="141"/>
        <v>0.77902674911916459</v>
      </c>
      <c r="K97" s="379">
        <f t="shared" si="141"/>
        <v>0.61450961632904522</v>
      </c>
      <c r="L97" s="379">
        <f t="shared" si="141"/>
        <v>0.64510331700881507</v>
      </c>
      <c r="M97" s="379">
        <f t="shared" si="141"/>
        <v>0.65857619754928753</v>
      </c>
      <c r="N97" s="379">
        <f t="shared" si="141"/>
        <v>0.68272556371514315</v>
      </c>
      <c r="O97" s="379">
        <f t="shared" si="141"/>
        <v>0.71693989635148714</v>
      </c>
      <c r="P97" s="379">
        <f t="shared" si="141"/>
        <v>0.73587640470872373</v>
      </c>
      <c r="Q97" s="379">
        <f t="shared" si="141"/>
        <v>0.73745729564555607</v>
      </c>
      <c r="R97" s="379">
        <f t="shared" si="141"/>
        <v>0.87527500391583446</v>
      </c>
      <c r="S97" s="379">
        <f t="shared" si="141"/>
        <v>0.84229308466053709</v>
      </c>
      <c r="T97" s="379">
        <f t="shared" si="141"/>
        <v>0.86839445523802794</v>
      </c>
      <c r="U97" s="379">
        <f t="shared" si="141"/>
        <v>0.86853692200715737</v>
      </c>
      <c r="V97" s="379">
        <f t="shared" si="141"/>
        <v>0.76848367927896133</v>
      </c>
      <c r="W97" s="380">
        <f t="shared" si="141"/>
        <v>0.75254852579905551</v>
      </c>
      <c r="X97" s="380">
        <f t="shared" si="141"/>
        <v>0.74107841725675438</v>
      </c>
      <c r="Y97" s="380">
        <f t="shared" si="141"/>
        <v>0.74344078135195524</v>
      </c>
      <c r="Z97" s="380">
        <f t="shared" si="141"/>
        <v>0.64255929161709369</v>
      </c>
      <c r="AA97" s="360"/>
      <c r="AB97" s="360"/>
      <c r="AC97" s="360"/>
      <c r="AD97" s="360"/>
      <c r="AE97" s="360"/>
      <c r="AF97" s="360"/>
      <c r="AG97" s="360"/>
      <c r="AH97" s="360"/>
      <c r="AI97" s="360"/>
      <c r="AJ97" s="360"/>
      <c r="AK97" s="360"/>
      <c r="AL97" s="360"/>
      <c r="AM97" s="360"/>
      <c r="AN97" s="360"/>
      <c r="AO97" s="360"/>
      <c r="AP97" s="360"/>
      <c r="AQ97" s="360"/>
      <c r="AR97" s="360"/>
      <c r="AS97" s="360"/>
      <c r="AT97" s="360"/>
      <c r="AU97" s="360"/>
      <c r="AV97" s="360"/>
      <c r="AW97" s="360"/>
      <c r="AX97" s="360"/>
      <c r="AY97" s="360"/>
      <c r="AZ97" s="360"/>
      <c r="BA97" s="360"/>
      <c r="BB97" s="360"/>
      <c r="BC97" s="360"/>
      <c r="BD97" s="201"/>
      <c r="BE97" s="14"/>
    </row>
    <row r="98" spans="1:57">
      <c r="A98" s="2"/>
      <c r="B98" s="321"/>
      <c r="C98" s="321"/>
      <c r="D98" s="321"/>
      <c r="E98" s="321"/>
      <c r="F98" s="353"/>
      <c r="G98" s="353"/>
      <c r="H98" s="353"/>
      <c r="I98" s="353"/>
      <c r="J98" s="353"/>
      <c r="K98" s="353"/>
      <c r="L98" s="353"/>
      <c r="M98" s="353"/>
      <c r="N98" s="353"/>
      <c r="O98" s="353"/>
      <c r="P98" s="353"/>
      <c r="Q98" s="353"/>
      <c r="R98" s="353"/>
      <c r="S98" s="353"/>
      <c r="T98" s="353"/>
      <c r="U98" s="353"/>
      <c r="V98" s="353"/>
      <c r="W98" s="354"/>
      <c r="X98" s="354"/>
      <c r="Y98" s="354"/>
      <c r="Z98" s="354"/>
      <c r="AA98" s="354"/>
      <c r="AB98" s="354"/>
      <c r="AC98" s="354"/>
      <c r="AD98" s="354"/>
      <c r="AE98" s="354"/>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2"/>
      <c r="BE98" s="2"/>
    </row>
    <row r="99" spans="1:57">
      <c r="A99" s="2" t="s">
        <v>504</v>
      </c>
      <c r="B99" s="321"/>
      <c r="C99" s="321"/>
      <c r="D99" s="321"/>
      <c r="E99" s="321"/>
      <c r="F99" s="382"/>
      <c r="G99" s="382"/>
      <c r="H99" s="382"/>
      <c r="I99" s="382"/>
      <c r="J99" s="382"/>
      <c r="K99" s="382"/>
      <c r="L99" s="382"/>
      <c r="M99" s="382"/>
      <c r="N99" s="382"/>
      <c r="O99" s="382"/>
      <c r="P99" s="382"/>
      <c r="Q99" s="382"/>
      <c r="R99" s="382"/>
      <c r="S99" s="382"/>
      <c r="T99" s="364">
        <f>T39*1000/'Other India Operations'!T25/3</f>
        <v>449.64873529525488</v>
      </c>
      <c r="U99" s="364">
        <f>U39*1000/'Other India Operations'!U25/3</f>
        <v>413.90879813200655</v>
      </c>
      <c r="V99" s="364">
        <f>V39*1000/'Other India Operations'!V25/3</f>
        <v>382.92775583759072</v>
      </c>
      <c r="W99" s="361">
        <f>W39*1000/'Other India Operations'!W25/3</f>
        <v>400.97207102461408</v>
      </c>
      <c r="X99" s="361">
        <f>X39*1000/'Other India Operations'!X25/3</f>
        <v>335.23249777077302</v>
      </c>
      <c r="Y99" s="361">
        <f>Y39*1000/'Other India Operations'!Y25/3</f>
        <v>393.14883887814199</v>
      </c>
      <c r="Z99" s="383">
        <f>Z39*1000/'Other India Operations'!Z25/3</f>
        <v>773.74456690255147</v>
      </c>
      <c r="AA99" s="383">
        <f>AA39*1000/'Other India Operations'!AA25/3</f>
        <v>1155.3856449625293</v>
      </c>
      <c r="AB99" s="383">
        <f>AB39*1000/'Other India Operations'!AB25/3</f>
        <v>1423.2052091585349</v>
      </c>
      <c r="AC99" s="383">
        <f>AC39*1000/'Other India Operations'!AC25/3</f>
        <v>1722.2298357457219</v>
      </c>
      <c r="AD99" s="383">
        <f>AD39*1000/'Other India Operations'!AD25/3</f>
        <v>2238.827692090721</v>
      </c>
      <c r="AE99" s="383">
        <f>AE39*1000/'Other India Operations'!AE25/3</f>
        <v>2550.8013032564154</v>
      </c>
      <c r="AF99" s="384">
        <f>AF39*1000/'Other India Operations'!AF25/3</f>
        <v>2885.9221341256639</v>
      </c>
      <c r="AG99" s="384">
        <f>AG39*1000/'Other India Operations'!AG25/3</f>
        <v>2957.3105562646119</v>
      </c>
      <c r="AH99" s="384">
        <f>AH39*1000/'Other India Operations'!AH25/3</f>
        <v>3148.3226292946733</v>
      </c>
      <c r="AI99" s="384">
        <f>AI39*1000/'Other India Operations'!AI25/3</f>
        <v>3484.6439239272181</v>
      </c>
      <c r="AJ99" s="384">
        <f>AJ39*1000/'Other India Operations'!AJ25/3</f>
        <v>3902.1613941806809</v>
      </c>
      <c r="AK99" s="384">
        <f>AK39*1000/'Other India Operations'!AK25/3</f>
        <v>4268.7324794035258</v>
      </c>
      <c r="AL99" s="384">
        <f>AL39*1000/'Other India Operations'!AL25/3</f>
        <v>4760.3222343780244</v>
      </c>
      <c r="AM99" s="384">
        <f>AM39*1000/'Other India Operations'!AM25/3</f>
        <v>4740.5756604817279</v>
      </c>
      <c r="AN99" s="384" t="e">
        <f>AN39*1000/'Other India Operations'!AN25/3</f>
        <v>#DIV/0!</v>
      </c>
      <c r="AO99" s="384" t="e">
        <f>AO39*1000/'Other India Operations'!AO25/3</f>
        <v>#DIV/0!</v>
      </c>
      <c r="AP99" s="384" t="e">
        <f>AP39*1000/'Other India Operations'!AP25/3</f>
        <v>#DIV/0!</v>
      </c>
      <c r="AQ99" s="384" t="e">
        <f>AQ39*1000/'Other India Operations'!AQ25/3</f>
        <v>#DIV/0!</v>
      </c>
      <c r="AR99" s="384" t="e">
        <f>AR39*1000/'Other India Operations'!AR25/3</f>
        <v>#DIV/0!</v>
      </c>
      <c r="AS99" s="384" t="e">
        <f>AS39*1000/'Other India Operations'!BD25/3</f>
        <v>#DIV/0!</v>
      </c>
      <c r="AT99" s="384" t="e">
        <f>AT39*1000/'Other India Operations'!BE25/3</f>
        <v>#DIV/0!</v>
      </c>
      <c r="AU99" s="384" t="e">
        <f>AU39*1000/'Other India Operations'!BF25/3</f>
        <v>#DIV/0!</v>
      </c>
      <c r="AV99" s="384" t="e">
        <f>AV39*1000/'Other India Operations'!BG25/3</f>
        <v>#DIV/0!</v>
      </c>
      <c r="AW99" s="384" t="e">
        <f>AW39*1000/'Other India Operations'!BH25/3</f>
        <v>#DIV/0!</v>
      </c>
      <c r="AX99" s="384" t="e">
        <f>AX39*1000/'Other India Operations'!BI25/3</f>
        <v>#DIV/0!</v>
      </c>
      <c r="AY99" s="384" t="e">
        <f>AY39*1000/'Other India Operations'!BJ25/3</f>
        <v>#DIV/0!</v>
      </c>
      <c r="AZ99" s="384" t="e">
        <f>AZ39*1000/'Other India Operations'!BK25/3</f>
        <v>#DIV/0!</v>
      </c>
      <c r="BA99" s="384" t="e">
        <f>BA39*1000/'Other India Operations'!BL25/3</f>
        <v>#DIV/0!</v>
      </c>
      <c r="BB99" s="384" t="e">
        <f>BB39*1000/'Other India Operations'!BM25/3</f>
        <v>#DIV/0!</v>
      </c>
      <c r="BC99" s="384" t="e">
        <f>BC39*1000/'Other India Operations'!BN25/3</f>
        <v>#DIV/0!</v>
      </c>
      <c r="BD99" s="2"/>
      <c r="BE99" s="2"/>
    </row>
    <row r="100" spans="1:57">
      <c r="A100" s="2" t="s">
        <v>503</v>
      </c>
      <c r="B100" s="321"/>
      <c r="C100" s="321"/>
      <c r="D100" s="321"/>
      <c r="E100" s="321"/>
      <c r="F100" s="321"/>
      <c r="G100" s="321"/>
      <c r="H100" s="321"/>
      <c r="I100" s="321"/>
      <c r="J100" s="321"/>
      <c r="K100" s="321"/>
      <c r="L100" s="321"/>
      <c r="M100" s="321"/>
      <c r="N100" s="321"/>
      <c r="O100" s="321"/>
      <c r="P100" s="321"/>
      <c r="Q100" s="321"/>
      <c r="R100" s="321"/>
      <c r="S100" s="321"/>
      <c r="T100" s="364">
        <f>T37*1000/'Other India Operations'!T25</f>
        <v>311.00105743375934</v>
      </c>
      <c r="U100" s="364">
        <f>U37*1000/'Other India Operations'!U25</f>
        <v>300.01081245716898</v>
      </c>
      <c r="V100" s="364">
        <f>V37*1000/'Other India Operations'!V25</f>
        <v>265.85124339412795</v>
      </c>
      <c r="W100" s="361">
        <f>W37*1000/'Other India Operations'!W25</f>
        <v>279.14675373789487</v>
      </c>
      <c r="X100" s="361">
        <f>X37*1000/'Other India Operations'!X25</f>
        <v>220.6086663857086</v>
      </c>
      <c r="Y100" s="361">
        <f>Y37*1000/'Other India Operations'!Y25</f>
        <v>223.80561144294242</v>
      </c>
      <c r="Z100" s="383">
        <f>Z37*1000/'Other India Operations'!Z25</f>
        <v>240.34079584877099</v>
      </c>
      <c r="AA100" s="383">
        <f>AA37*1000/'Other India Operations'!AA25</f>
        <v>125.17467673748077</v>
      </c>
      <c r="AB100" s="383">
        <f>AB37*1000/'Other India Operations'!AB25</f>
        <v>140.41204315024595</v>
      </c>
      <c r="AC100" s="383">
        <f>AC37*1000/'Other India Operations'!AC25</f>
        <v>160.60319313857738</v>
      </c>
      <c r="AD100" s="383">
        <f>AD37*1000/'Other India Operations'!AD25</f>
        <v>182.01209229116438</v>
      </c>
      <c r="AE100" s="383">
        <f>AE37*1000/'Other India Operations'!AE25</f>
        <v>189.07669384021494</v>
      </c>
      <c r="AF100" s="384">
        <f>AF37*1000/'Other India Operations'!AF25</f>
        <v>207.41625892852338</v>
      </c>
      <c r="AG100" s="384">
        <f>AG37*1000/'Other India Operations'!AG25</f>
        <v>207.86709226005897</v>
      </c>
      <c r="AH100" s="384">
        <f>AH37*1000/'Other India Operations'!AH25</f>
        <v>214.44735288550805</v>
      </c>
      <c r="AI100" s="384">
        <f>AI37*1000/'Other India Operations'!AI25</f>
        <v>223.23665107135668</v>
      </c>
      <c r="AJ100" s="384">
        <f>AJ37*1000/'Other India Operations'!AJ25</f>
        <v>261.24461495930223</v>
      </c>
      <c r="AK100" s="384">
        <f>AK37*1000/'Other India Operations'!AK25</f>
        <v>270.51796548008161</v>
      </c>
      <c r="AL100" s="384">
        <f>AL37*1000/'Other India Operations'!AL25</f>
        <v>272.79207112240283</v>
      </c>
      <c r="AM100" s="384">
        <f>AM37*1000/'Other India Operations'!AM25</f>
        <v>284.21991005312674</v>
      </c>
      <c r="AN100" s="384" t="e">
        <f>AN37*1000/'Other India Operations'!AN25</f>
        <v>#DIV/0!</v>
      </c>
      <c r="AO100" s="384" t="e">
        <f>AO37*1000/'Other India Operations'!AO25</f>
        <v>#DIV/0!</v>
      </c>
      <c r="AP100" s="384" t="e">
        <f>AP37*1000/'Other India Operations'!AP25</f>
        <v>#DIV/0!</v>
      </c>
      <c r="AQ100" s="384" t="e">
        <f>AQ37*1000/'Other India Operations'!AQ25</f>
        <v>#DIV/0!</v>
      </c>
      <c r="AR100" s="384" t="e">
        <f>AR37*1000/'Other India Operations'!AR25</f>
        <v>#DIV/0!</v>
      </c>
      <c r="AS100" s="384" t="e">
        <f>AS37*1000/'Other India Operations'!BD25</f>
        <v>#DIV/0!</v>
      </c>
      <c r="AT100" s="384" t="e">
        <f>AT37*1000/'Other India Operations'!BE25</f>
        <v>#DIV/0!</v>
      </c>
      <c r="AU100" s="384" t="e">
        <f>AU37*1000/'Other India Operations'!BF25</f>
        <v>#DIV/0!</v>
      </c>
      <c r="AV100" s="384" t="e">
        <f>AV37*1000/'Other India Operations'!BG25</f>
        <v>#DIV/0!</v>
      </c>
      <c r="AW100" s="384" t="e">
        <f>AW37*1000/'Other India Operations'!BH25</f>
        <v>#DIV/0!</v>
      </c>
      <c r="AX100" s="384" t="e">
        <f>AX37*1000/'Other India Operations'!BI25</f>
        <v>#DIV/0!</v>
      </c>
      <c r="AY100" s="384" t="e">
        <f>AY37*1000/'Other India Operations'!BJ25</f>
        <v>#DIV/0!</v>
      </c>
      <c r="AZ100" s="384" t="e">
        <f>AZ37*1000/'Other India Operations'!BK25</f>
        <v>#DIV/0!</v>
      </c>
      <c r="BA100" s="384" t="e">
        <f>BA37*1000/'Other India Operations'!BL25</f>
        <v>#DIV/0!</v>
      </c>
      <c r="BB100" s="384" t="e">
        <f>BB37*1000/'Other India Operations'!BM25</f>
        <v>#DIV/0!</v>
      </c>
      <c r="BC100" s="384" t="e">
        <f>BC37*1000/'Other India Operations'!BN25</f>
        <v>#DIV/0!</v>
      </c>
      <c r="BD100" s="2"/>
      <c r="BE100" s="2"/>
    </row>
    <row r="101" spans="1:57">
      <c r="A101" s="2"/>
      <c r="B101" s="321"/>
      <c r="C101" s="321"/>
      <c r="D101" s="321"/>
      <c r="E101" s="321"/>
      <c r="F101" s="321"/>
      <c r="G101" s="321"/>
      <c r="H101" s="321"/>
      <c r="I101" s="321"/>
      <c r="J101" s="321"/>
      <c r="K101" s="321"/>
      <c r="L101" s="321"/>
      <c r="M101" s="321"/>
      <c r="N101" s="321"/>
      <c r="O101" s="321"/>
      <c r="P101" s="321"/>
      <c r="Q101" s="321"/>
      <c r="R101" s="321"/>
      <c r="S101" s="321"/>
      <c r="T101" s="321"/>
      <c r="U101" s="321"/>
      <c r="V101" s="321"/>
      <c r="W101" s="321"/>
      <c r="X101" s="321"/>
      <c r="Y101" s="321"/>
      <c r="Z101" s="321"/>
      <c r="AA101" s="321"/>
      <c r="AB101" s="321"/>
      <c r="AC101" s="321"/>
      <c r="AD101" s="321"/>
      <c r="AE101" s="321"/>
      <c r="AF101" s="322"/>
      <c r="AG101" s="322"/>
      <c r="AH101" s="322"/>
      <c r="AI101" s="322"/>
      <c r="AJ101" s="322"/>
      <c r="AK101" s="322"/>
      <c r="AL101" s="322"/>
      <c r="AM101" s="322"/>
      <c r="AN101" s="322"/>
      <c r="AO101" s="322"/>
      <c r="AP101" s="322"/>
      <c r="AQ101" s="322"/>
      <c r="AR101" s="322"/>
      <c r="AS101" s="322"/>
      <c r="AT101" s="322"/>
      <c r="AU101" s="322"/>
      <c r="AV101" s="322"/>
      <c r="AW101" s="322"/>
      <c r="AX101" s="322"/>
      <c r="AY101" s="322"/>
      <c r="AZ101" s="322"/>
      <c r="BA101" s="322"/>
      <c r="BB101" s="322"/>
      <c r="BC101" s="322"/>
      <c r="BD101" s="2"/>
      <c r="BE101" s="2"/>
    </row>
    <row r="102" spans="1:57">
      <c r="A102" s="2" t="s">
        <v>507</v>
      </c>
      <c r="B102" s="364"/>
      <c r="C102" s="364">
        <f t="shared" ref="C102:E102" si="142">C37-B37</f>
        <v>0</v>
      </c>
      <c r="D102" s="364">
        <f t="shared" si="142"/>
        <v>0</v>
      </c>
      <c r="E102" s="364">
        <f t="shared" si="142"/>
        <v>2711.2789999999995</v>
      </c>
      <c r="F102" s="364">
        <f t="shared" ref="F102:X102" si="143">F37-E37</f>
        <v>1001.4049999999997</v>
      </c>
      <c r="G102" s="364">
        <f t="shared" si="143"/>
        <v>301.13600000000088</v>
      </c>
      <c r="H102" s="364">
        <f t="shared" si="143"/>
        <v>1173.2459999999996</v>
      </c>
      <c r="I102" s="364">
        <f t="shared" si="143"/>
        <v>1203.8490000000002</v>
      </c>
      <c r="J102" s="364">
        <f t="shared" si="143"/>
        <v>-152.67200000000048</v>
      </c>
      <c r="K102" s="364">
        <f t="shared" si="143"/>
        <v>1199.6360000000004</v>
      </c>
      <c r="L102" s="364">
        <f t="shared" si="143"/>
        <v>1368.3179999999984</v>
      </c>
      <c r="M102" s="364">
        <f t="shared" si="143"/>
        <v>1449.0770000000011</v>
      </c>
      <c r="N102" s="364">
        <f t="shared" si="143"/>
        <v>2280.0450000000001</v>
      </c>
      <c r="O102" s="364">
        <f t="shared" si="143"/>
        <v>2909.2659999999996</v>
      </c>
      <c r="P102" s="364">
        <f t="shared" si="143"/>
        <v>1495.7880000000005</v>
      </c>
      <c r="Q102" s="364">
        <f t="shared" si="143"/>
        <v>2500.8450000000012</v>
      </c>
      <c r="R102" s="385">
        <f t="shared" si="143"/>
        <v>1918.9389999999985</v>
      </c>
      <c r="S102" s="386">
        <f t="shared" si="143"/>
        <v>2535.112000000001</v>
      </c>
      <c r="T102" s="386">
        <f t="shared" si="143"/>
        <v>6986.2030000000013</v>
      </c>
      <c r="U102" s="386">
        <f t="shared" si="143"/>
        <v>4578.9059999999954</v>
      </c>
      <c r="V102" s="386">
        <f>V37-U37</f>
        <v>1111.9800000000032</v>
      </c>
      <c r="W102" s="386">
        <f t="shared" si="143"/>
        <v>4763.135000000002</v>
      </c>
      <c r="X102" s="386">
        <f t="shared" si="143"/>
        <v>-3645.8260000000009</v>
      </c>
      <c r="Y102" s="386">
        <f t="shared" ref="Y102:AC102" si="144">Y37-X37</f>
        <v>5025.8719999999885</v>
      </c>
      <c r="Z102" s="386">
        <f t="shared" si="144"/>
        <v>6195.2550000000047</v>
      </c>
      <c r="AA102" s="386">
        <f t="shared" si="144"/>
        <v>-20604.793999999994</v>
      </c>
      <c r="AB102" s="386">
        <f t="shared" si="144"/>
        <v>8061</v>
      </c>
      <c r="AC102" s="386">
        <f t="shared" si="144"/>
        <v>11495</v>
      </c>
      <c r="AD102" s="386">
        <f t="shared" ref="AD102" si="145">AD37-AC37</f>
        <v>10419</v>
      </c>
      <c r="AE102" s="386">
        <f t="shared" ref="AE102:AG102" si="146">AE37-AD37</f>
        <v>7450</v>
      </c>
      <c r="AF102" s="387">
        <f t="shared" si="146"/>
        <v>11337</v>
      </c>
      <c r="AG102" s="387">
        <f t="shared" si="146"/>
        <v>9740</v>
      </c>
      <c r="AH102" s="387">
        <f t="shared" ref="AH102:AO102" si="147">AH37-AG37</f>
        <v>8364.593000000008</v>
      </c>
      <c r="AI102" s="387">
        <f t="shared" si="147"/>
        <v>7938.406999999992</v>
      </c>
      <c r="AJ102" s="387">
        <f t="shared" si="147"/>
        <v>20682.111999999994</v>
      </c>
      <c r="AK102" s="387">
        <f t="shared" si="147"/>
        <v>12516.291999999987</v>
      </c>
      <c r="AL102" s="387">
        <f t="shared" si="147"/>
        <v>1984.4459999999963</v>
      </c>
      <c r="AM102" s="387">
        <f t="shared" si="147"/>
        <v>14390.791000000027</v>
      </c>
      <c r="AN102" s="387">
        <f>AN37-AM37</f>
        <v>12943.933999999979</v>
      </c>
      <c r="AO102" s="387">
        <f t="shared" si="147"/>
        <v>13664.369000000035</v>
      </c>
      <c r="AP102" s="387">
        <f t="shared" ref="AP102:AZ102" si="148">AP37-AO37</f>
        <v>5133.8809999999939</v>
      </c>
      <c r="AQ102" s="387">
        <f t="shared" si="148"/>
        <v>8111.7390000000014</v>
      </c>
      <c r="AR102" s="387">
        <f t="shared" si="148"/>
        <v>3002.435999999987</v>
      </c>
      <c r="AS102" s="387">
        <f t="shared" si="148"/>
        <v>5245</v>
      </c>
      <c r="AT102" s="387">
        <f t="shared" si="148"/>
        <v>4477.3310000000056</v>
      </c>
      <c r="AU102" s="387">
        <f t="shared" si="148"/>
        <v>5036.9809999999707</v>
      </c>
      <c r="AV102" s="387">
        <f t="shared" si="148"/>
        <v>6420.3810000000522</v>
      </c>
      <c r="AW102" s="387">
        <f t="shared" si="148"/>
        <v>7403.7239999999874</v>
      </c>
      <c r="AX102" s="387">
        <f t="shared" si="148"/>
        <v>5623.4110000000219</v>
      </c>
      <c r="AY102" s="387">
        <f t="shared" si="148"/>
        <v>7718.9110000000219</v>
      </c>
      <c r="AZ102" s="387">
        <f t="shared" si="148"/>
        <v>7442.8579999999492</v>
      </c>
      <c r="BA102" s="387">
        <f>BA37-AZ37</f>
        <v>7838.9109999999928</v>
      </c>
      <c r="BB102" s="387">
        <f>BB37-BA37</f>
        <v>6680.4320000000007</v>
      </c>
      <c r="BC102" s="387">
        <f>BC37-BB37</f>
        <v>4206.8300000000163</v>
      </c>
      <c r="BD102" s="2"/>
      <c r="BE102" s="2"/>
    </row>
    <row r="103" spans="1:57">
      <c r="A103" s="2" t="s">
        <v>595</v>
      </c>
      <c r="B103" s="321"/>
      <c r="C103" s="321"/>
      <c r="D103" s="321"/>
      <c r="E103" s="321"/>
      <c r="F103" s="321"/>
      <c r="G103" s="388">
        <f>G82-F82</f>
        <v>1638.8640000000014</v>
      </c>
      <c r="H103" s="388">
        <f t="shared" ref="H103:AC103" si="149">H82-G82</f>
        <v>-292.87799999999697</v>
      </c>
      <c r="I103" s="388">
        <f t="shared" si="149"/>
        <v>805.78299999999581</v>
      </c>
      <c r="J103" s="388">
        <f t="shared" si="149"/>
        <v>-17461.913999999997</v>
      </c>
      <c r="K103" s="388">
        <f t="shared" si="149"/>
        <v>963.98999999999796</v>
      </c>
      <c r="L103" s="388">
        <f t="shared" si="149"/>
        <v>2490.4780000000028</v>
      </c>
      <c r="M103" s="388">
        <f t="shared" si="149"/>
        <v>2257.8770000000004</v>
      </c>
      <c r="N103" s="388">
        <f t="shared" si="149"/>
        <v>1434.7559999999976</v>
      </c>
      <c r="O103" s="388">
        <f t="shared" si="149"/>
        <v>-2120.9840000000004</v>
      </c>
      <c r="P103" s="388">
        <f t="shared" si="149"/>
        <v>645.02100000000064</v>
      </c>
      <c r="Q103" s="388">
        <f t="shared" si="149"/>
        <v>1636.7609999999986</v>
      </c>
      <c r="R103" s="388">
        <f t="shared" si="149"/>
        <v>1164.5849999999991</v>
      </c>
      <c r="S103" s="388">
        <f t="shared" si="149"/>
        <v>-992.04399999999441</v>
      </c>
      <c r="T103" s="388">
        <f t="shared" si="149"/>
        <v>-3139.0970000000088</v>
      </c>
      <c r="U103" s="388">
        <f t="shared" si="149"/>
        <v>-1223.3779999999897</v>
      </c>
      <c r="V103" s="388">
        <f>V82-U82</f>
        <v>-424.80400000000373</v>
      </c>
      <c r="W103" s="388">
        <f t="shared" si="149"/>
        <v>-1006.7780000000057</v>
      </c>
      <c r="X103" s="388">
        <f t="shared" si="149"/>
        <v>-4098.1499999999942</v>
      </c>
      <c r="Y103" s="388">
        <f t="shared" si="149"/>
        <v>-2578.5659999999989</v>
      </c>
      <c r="Z103" s="388">
        <f>Z82-Y82</f>
        <v>-997.40099999999802</v>
      </c>
      <c r="AA103" s="388">
        <f t="shared" si="149"/>
        <v>23813.562999999995</v>
      </c>
      <c r="AB103" s="388">
        <f t="shared" si="149"/>
        <v>-2994.0910000000003</v>
      </c>
      <c r="AC103" s="388">
        <f t="shared" si="149"/>
        <v>3746.5869999999995</v>
      </c>
      <c r="AD103" s="388">
        <f t="shared" ref="AD103" si="150">AD82-AC82</f>
        <v>-1713.4440000000031</v>
      </c>
      <c r="AE103" s="388">
        <f t="shared" ref="AE103:AG103" si="151">AE82-AD82</f>
        <v>-4566.6149999999907</v>
      </c>
      <c r="AF103" s="341">
        <f t="shared" si="151"/>
        <v>-1492.4370000000054</v>
      </c>
      <c r="AG103" s="341">
        <f t="shared" si="151"/>
        <v>-2104</v>
      </c>
      <c r="AH103" s="341">
        <f t="shared" ref="AH103:AO103" si="152">AH82-AG82</f>
        <v>-3464.2900000000081</v>
      </c>
      <c r="AI103" s="341">
        <f t="shared" si="152"/>
        <v>-3743.7099999999919</v>
      </c>
      <c r="AJ103" s="341">
        <f t="shared" si="152"/>
        <v>-6481.0009999999893</v>
      </c>
      <c r="AK103" s="341">
        <f t="shared" si="152"/>
        <v>-2381.0389999999898</v>
      </c>
      <c r="AL103" s="341">
        <f t="shared" si="152"/>
        <v>-1473.5550000000221</v>
      </c>
      <c r="AM103" s="341">
        <f t="shared" si="152"/>
        <v>-1294.6600000000035</v>
      </c>
      <c r="AN103" s="341">
        <f>AN82-AM82</f>
        <v>-387.32099999993807</v>
      </c>
      <c r="AO103" s="341">
        <f t="shared" si="152"/>
        <v>229.03899999996065</v>
      </c>
      <c r="AP103" s="341">
        <f t="shared" ref="AP103:BC103" si="153">AP82-AO82</f>
        <v>-834.35599999999977</v>
      </c>
      <c r="AQ103" s="341">
        <f t="shared" si="153"/>
        <v>-1019.5660000000498</v>
      </c>
      <c r="AR103" s="341">
        <f t="shared" si="153"/>
        <v>-78.901999999972759</v>
      </c>
      <c r="AS103" s="341">
        <f t="shared" si="153"/>
        <v>252.78900000001886</v>
      </c>
      <c r="AT103" s="341">
        <f t="shared" si="153"/>
        <v>331.97799999997369</v>
      </c>
      <c r="AU103" s="341">
        <f t="shared" si="153"/>
        <v>805</v>
      </c>
      <c r="AV103" s="341">
        <f t="shared" si="153"/>
        <v>-227.87800000005518</v>
      </c>
      <c r="AW103" s="341">
        <f t="shared" si="153"/>
        <v>-17.82299999994575</v>
      </c>
      <c r="AX103" s="341">
        <f t="shared" si="153"/>
        <v>-75.52900000003865</v>
      </c>
      <c r="AY103" s="341">
        <f t="shared" si="153"/>
        <v>-57.653000000020256</v>
      </c>
      <c r="AZ103" s="341">
        <f t="shared" si="153"/>
        <v>-171.20399999991059</v>
      </c>
      <c r="BA103" s="341">
        <f t="shared" si="153"/>
        <v>-151.06200000009267</v>
      </c>
      <c r="BB103" s="341">
        <f t="shared" si="153"/>
        <v>-398.1589999999851</v>
      </c>
      <c r="BC103" s="341">
        <f t="shared" si="153"/>
        <v>-172.91099999996368</v>
      </c>
      <c r="BD103" s="2"/>
      <c r="BE103" s="2"/>
    </row>
    <row r="104" spans="1:57">
      <c r="A104" s="2"/>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c r="Z104" s="321"/>
      <c r="AA104" s="321"/>
      <c r="AB104" s="321"/>
      <c r="AC104" s="321"/>
      <c r="AD104" s="321"/>
      <c r="AE104" s="321"/>
      <c r="AF104" s="322"/>
      <c r="AG104" s="322"/>
      <c r="AH104" s="322"/>
      <c r="AI104" s="322"/>
      <c r="AJ104" s="322"/>
      <c r="AK104" s="322"/>
      <c r="AL104" s="322"/>
      <c r="AM104" s="322"/>
      <c r="AN104" s="322"/>
      <c r="AO104" s="322"/>
      <c r="AP104" s="322"/>
      <c r="AQ104" s="322"/>
      <c r="AR104" s="322"/>
      <c r="AS104" s="322"/>
      <c r="AT104" s="322"/>
      <c r="AU104" s="322"/>
      <c r="AV104" s="322"/>
      <c r="AW104" s="322"/>
      <c r="AX104" s="322"/>
      <c r="AY104" s="322"/>
      <c r="AZ104" s="322"/>
      <c r="BA104" s="322"/>
      <c r="BB104" s="322"/>
      <c r="BC104" s="322"/>
      <c r="BD104" s="2"/>
      <c r="BE104" s="2"/>
    </row>
    <row r="105" spans="1:57">
      <c r="A105" s="2"/>
      <c r="B105" s="321"/>
      <c r="C105" s="321"/>
      <c r="D105" s="321"/>
      <c r="E105" s="321"/>
      <c r="F105" s="321"/>
      <c r="G105" s="321"/>
      <c r="H105" s="321"/>
      <c r="I105" s="321"/>
      <c r="J105" s="321"/>
      <c r="K105" s="321"/>
      <c r="L105" s="321"/>
      <c r="M105" s="321"/>
      <c r="N105" s="321"/>
      <c r="O105" s="321"/>
      <c r="P105" s="321"/>
      <c r="Q105" s="321"/>
      <c r="R105" s="321"/>
      <c r="S105" s="321"/>
      <c r="T105" s="321"/>
      <c r="U105" s="321"/>
      <c r="V105" s="321"/>
      <c r="W105" s="321"/>
      <c r="X105" s="321"/>
      <c r="Y105" s="321"/>
      <c r="Z105" s="321"/>
      <c r="AA105" s="321"/>
      <c r="AB105" s="321"/>
      <c r="AC105" s="321"/>
      <c r="AD105" s="321"/>
      <c r="AE105" s="321"/>
      <c r="AF105" s="322"/>
      <c r="AG105" s="322"/>
      <c r="AH105" s="322"/>
      <c r="AI105" s="322"/>
      <c r="AJ105" s="322"/>
      <c r="AK105" s="322"/>
      <c r="AL105" s="322"/>
      <c r="AM105" s="322"/>
      <c r="AN105" s="322"/>
      <c r="AO105" s="322"/>
      <c r="AP105" s="322"/>
      <c r="AQ105" s="322"/>
      <c r="AR105" s="322"/>
      <c r="AS105" s="322"/>
      <c r="AT105" s="322"/>
      <c r="AU105" s="322"/>
      <c r="AV105" s="322"/>
      <c r="AW105" s="322"/>
      <c r="AX105" s="322"/>
      <c r="AY105" s="322"/>
      <c r="AZ105" s="322"/>
      <c r="BA105" s="322"/>
      <c r="BB105" s="322"/>
      <c r="BC105" s="322"/>
      <c r="BD105" s="2"/>
      <c r="BE105" s="2"/>
    </row>
    <row r="106" spans="1:57">
      <c r="A106" s="2"/>
      <c r="B106" s="321"/>
      <c r="C106" s="321"/>
      <c r="D106" s="321"/>
      <c r="E106" s="321"/>
      <c r="F106" s="321"/>
      <c r="G106" s="321"/>
      <c r="H106" s="321"/>
      <c r="I106" s="321"/>
      <c r="J106" s="321"/>
      <c r="K106" s="321"/>
      <c r="L106" s="321"/>
      <c r="M106" s="321"/>
      <c r="N106" s="321"/>
      <c r="O106" s="321"/>
      <c r="P106" s="321"/>
      <c r="Q106" s="321"/>
      <c r="R106" s="321"/>
      <c r="S106" s="321"/>
      <c r="T106" s="321"/>
      <c r="U106" s="321"/>
      <c r="V106" s="321"/>
      <c r="W106" s="321"/>
      <c r="X106" s="321"/>
      <c r="Y106" s="321"/>
      <c r="Z106" s="321"/>
      <c r="AA106" s="321"/>
      <c r="AB106" s="321"/>
      <c r="AC106" s="321"/>
      <c r="AD106" s="321"/>
      <c r="AE106" s="321"/>
      <c r="AF106" s="322"/>
      <c r="AG106" s="322"/>
      <c r="AH106" s="322"/>
      <c r="AI106" s="322"/>
      <c r="AJ106" s="322"/>
      <c r="AK106" s="322"/>
      <c r="AL106" s="322"/>
      <c r="AM106" s="322"/>
      <c r="AN106" s="322"/>
      <c r="AO106" s="322"/>
      <c r="AP106" s="322"/>
      <c r="AQ106" s="322"/>
      <c r="AR106" s="322"/>
      <c r="AS106" s="322"/>
      <c r="AT106" s="322"/>
      <c r="AU106" s="322"/>
      <c r="AV106" s="322"/>
      <c r="AW106" s="322"/>
      <c r="AX106" s="322"/>
      <c r="AY106" s="322"/>
      <c r="AZ106" s="322"/>
      <c r="BA106" s="322"/>
      <c r="BB106" s="322"/>
      <c r="BC106" s="322"/>
      <c r="BD106" s="2"/>
      <c r="BE106" s="2"/>
    </row>
    <row r="107" spans="1:57">
      <c r="A107" s="2"/>
      <c r="B107" s="321"/>
      <c r="C107" s="321"/>
      <c r="D107" s="321"/>
      <c r="E107" s="321"/>
      <c r="F107" s="321"/>
      <c r="G107" s="321"/>
      <c r="H107" s="321"/>
      <c r="I107" s="321"/>
      <c r="J107" s="321" t="str">
        <f t="shared" ref="J107:AP107" si="154">J1</f>
        <v>1Q14</v>
      </c>
      <c r="K107" s="321" t="str">
        <f t="shared" si="154"/>
        <v>2Q14</v>
      </c>
      <c r="L107" s="321" t="str">
        <f t="shared" si="154"/>
        <v>3Q14</v>
      </c>
      <c r="M107" s="321" t="str">
        <f t="shared" si="154"/>
        <v>4Q14</v>
      </c>
      <c r="N107" s="321" t="str">
        <f t="shared" si="154"/>
        <v>1Q15</v>
      </c>
      <c r="O107" s="321" t="str">
        <f t="shared" si="154"/>
        <v>2Q15</v>
      </c>
      <c r="P107" s="321" t="str">
        <f t="shared" si="154"/>
        <v>3Q15</v>
      </c>
      <c r="Q107" s="321" t="str">
        <f t="shared" si="154"/>
        <v>4Q15</v>
      </c>
      <c r="R107" s="321" t="str">
        <f t="shared" si="154"/>
        <v>1Q16</v>
      </c>
      <c r="S107" s="321" t="str">
        <f t="shared" si="154"/>
        <v>2Q16</v>
      </c>
      <c r="T107" s="321" t="str">
        <f t="shared" si="154"/>
        <v>3Q16</v>
      </c>
      <c r="U107" s="321" t="str">
        <f t="shared" si="154"/>
        <v>4Q16</v>
      </c>
      <c r="V107" s="321" t="str">
        <f t="shared" si="154"/>
        <v>1Q17</v>
      </c>
      <c r="W107" s="321" t="str">
        <f t="shared" si="154"/>
        <v>2Q17</v>
      </c>
      <c r="X107" s="321" t="str">
        <f t="shared" si="154"/>
        <v>3Q17</v>
      </c>
      <c r="Y107" s="321" t="str">
        <f t="shared" si="154"/>
        <v>4Q17</v>
      </c>
      <c r="Z107" s="321" t="str">
        <f t="shared" si="154"/>
        <v>1Q18</v>
      </c>
      <c r="AA107" s="321" t="str">
        <f t="shared" si="154"/>
        <v>2Q18</v>
      </c>
      <c r="AB107" s="321" t="str">
        <f t="shared" si="154"/>
        <v>3Q18</v>
      </c>
      <c r="AC107" s="321" t="str">
        <f t="shared" si="154"/>
        <v>4Q18</v>
      </c>
      <c r="AD107" s="321" t="str">
        <f t="shared" si="154"/>
        <v>1Q19</v>
      </c>
      <c r="AE107" s="321" t="str">
        <f t="shared" si="154"/>
        <v>2Q19</v>
      </c>
      <c r="AF107" s="321" t="str">
        <f t="shared" si="154"/>
        <v>3Q19</v>
      </c>
      <c r="AG107" s="321" t="str">
        <f t="shared" si="154"/>
        <v>4Q19</v>
      </c>
      <c r="AH107" s="321" t="str">
        <f t="shared" si="154"/>
        <v>1Q20</v>
      </c>
      <c r="AI107" s="321" t="str">
        <f t="shared" si="154"/>
        <v>2Q20</v>
      </c>
      <c r="AJ107" s="321" t="str">
        <f t="shared" si="154"/>
        <v>3Q20</v>
      </c>
      <c r="AK107" s="321" t="str">
        <f t="shared" si="154"/>
        <v>4Q20</v>
      </c>
      <c r="AL107" s="321" t="str">
        <f t="shared" si="154"/>
        <v>1Q21</v>
      </c>
      <c r="AM107" s="321" t="str">
        <f t="shared" si="154"/>
        <v>2Q21</v>
      </c>
      <c r="AN107" s="321" t="str">
        <f t="shared" si="154"/>
        <v>3Q21</v>
      </c>
      <c r="AO107" s="321" t="str">
        <f t="shared" si="154"/>
        <v>4Q21</v>
      </c>
      <c r="AP107" s="321" t="str">
        <f t="shared" si="154"/>
        <v>1Q22</v>
      </c>
      <c r="AQ107" s="321" t="str">
        <f t="shared" ref="AQ107:AR107" si="155">AQ1</f>
        <v>2Q22</v>
      </c>
      <c r="AR107" s="321" t="str">
        <f t="shared" si="155"/>
        <v>3Q22</v>
      </c>
      <c r="AS107" s="321" t="str">
        <f t="shared" ref="AS107:AT107" si="156">AS1</f>
        <v>4Q22</v>
      </c>
      <c r="AT107" s="321" t="str">
        <f t="shared" si="156"/>
        <v>1Q23</v>
      </c>
      <c r="AU107" s="321" t="str">
        <f t="shared" ref="AU107:AV107" si="157">AU1</f>
        <v>2Q23</v>
      </c>
      <c r="AV107" s="321" t="str">
        <f t="shared" si="157"/>
        <v>3Q23</v>
      </c>
      <c r="AW107" s="321" t="str">
        <f t="shared" ref="AW107:AY107" si="158">AW1</f>
        <v>4Q23</v>
      </c>
      <c r="AX107" s="321" t="str">
        <f t="shared" si="158"/>
        <v>1Q24</v>
      </c>
      <c r="AY107" s="321" t="str">
        <f t="shared" si="158"/>
        <v>2Q24</v>
      </c>
      <c r="AZ107" s="321" t="str">
        <f t="shared" ref="AZ107:BA107" si="159">AZ1</f>
        <v>3Q24</v>
      </c>
      <c r="BA107" s="321" t="str">
        <f t="shared" si="159"/>
        <v>4Q24</v>
      </c>
      <c r="BB107" s="321" t="str">
        <f t="shared" ref="BB107:BC107" si="160">BB1</f>
        <v>1Q25</v>
      </c>
      <c r="BC107" s="321" t="str">
        <f t="shared" si="160"/>
        <v>2Q25</v>
      </c>
      <c r="BD107" s="2"/>
      <c r="BE107" s="2"/>
    </row>
    <row r="108" spans="1:57">
      <c r="A108" s="127" t="s">
        <v>604</v>
      </c>
      <c r="B108" s="321"/>
      <c r="C108" s="321"/>
      <c r="D108" s="321"/>
      <c r="E108" s="321"/>
      <c r="F108" s="321"/>
      <c r="G108" s="321"/>
      <c r="H108" s="321"/>
      <c r="I108" s="321"/>
      <c r="J108" s="353">
        <f t="shared" ref="J108:AO108" si="161">J10/I10-1</f>
        <v>3.8038767817214492E-2</v>
      </c>
      <c r="K108" s="353">
        <f t="shared" si="161"/>
        <v>-4.0723220735849996E-2</v>
      </c>
      <c r="L108" s="353">
        <f t="shared" si="161"/>
        <v>1.3483445578088116E-2</v>
      </c>
      <c r="M108" s="353">
        <f t="shared" si="161"/>
        <v>8.7784116146298885E-3</v>
      </c>
      <c r="N108" s="353">
        <f t="shared" si="161"/>
        <v>3.1121132238122406E-2</v>
      </c>
      <c r="O108" s="353">
        <f t="shared" si="161"/>
        <v>-2.437860397866376E-2</v>
      </c>
      <c r="P108" s="353">
        <f t="shared" si="161"/>
        <v>2.39702035284175E-2</v>
      </c>
      <c r="Q108" s="353">
        <f t="shared" si="161"/>
        <v>-1.9322644956964452E-2</v>
      </c>
      <c r="R108" s="353">
        <f t="shared" si="161"/>
        <v>-6.5440718994957958E-4</v>
      </c>
      <c r="S108" s="353">
        <f t="shared" si="161"/>
        <v>-2.8496261765495468E-2</v>
      </c>
      <c r="T108" s="353">
        <f t="shared" si="161"/>
        <v>-3.125185058963531E-3</v>
      </c>
      <c r="U108" s="353">
        <f t="shared" si="161"/>
        <v>1.1487390693750488E-2</v>
      </c>
      <c r="V108" s="353">
        <f t="shared" si="161"/>
        <v>7.9292495037168731E-3</v>
      </c>
      <c r="W108" s="353">
        <f t="shared" si="161"/>
        <v>-4.0173970477005438E-2</v>
      </c>
      <c r="X108" s="353">
        <f t="shared" si="161"/>
        <v>-8.4349076617580843E-2</v>
      </c>
      <c r="Y108" s="353">
        <f t="shared" si="161"/>
        <v>-8.3939415245546933E-2</v>
      </c>
      <c r="Z108" s="353">
        <f t="shared" si="161"/>
        <v>-1.9671297118251996E-2</v>
      </c>
      <c r="AA108" s="353">
        <f t="shared" si="161"/>
        <v>-6.139653279259405E-2</v>
      </c>
      <c r="AB108" s="353">
        <f t="shared" si="161"/>
        <v>-0.15172413793103445</v>
      </c>
      <c r="AC108" s="353">
        <f t="shared" si="161"/>
        <v>-5.6910569105691033E-2</v>
      </c>
      <c r="AD108" s="353">
        <f t="shared" si="161"/>
        <v>-9.4827586206896575E-2</v>
      </c>
      <c r="AE108" s="353">
        <f t="shared" si="161"/>
        <v>-4.7619047619047672E-2</v>
      </c>
      <c r="AF108" s="354">
        <f t="shared" si="161"/>
        <v>4.0000000000000036E-2</v>
      </c>
      <c r="AG108" s="354">
        <f t="shared" si="161"/>
        <v>0.18269230769230771</v>
      </c>
      <c r="AH108" s="354">
        <f t="shared" si="161"/>
        <v>4.8780487804878092E-2</v>
      </c>
      <c r="AI108" s="354">
        <f t="shared" si="161"/>
        <v>-7.7519379844961378E-3</v>
      </c>
      <c r="AJ108" s="354">
        <f t="shared" si="161"/>
        <v>5.352602667832751E-2</v>
      </c>
      <c r="AK108" s="354">
        <f t="shared" si="161"/>
        <v>0.14252318439570866</v>
      </c>
      <c r="AL108" s="354">
        <f t="shared" si="161"/>
        <v>1.7768724922981649E-2</v>
      </c>
      <c r="AM108" s="354">
        <f t="shared" si="161"/>
        <v>3.4330205232516064E-2</v>
      </c>
      <c r="AN108" s="354">
        <f t="shared" si="161"/>
        <v>2.3984848150873761E-2</v>
      </c>
      <c r="AO108" s="354">
        <f t="shared" si="161"/>
        <v>-0.12566304382736837</v>
      </c>
      <c r="AP108" s="354">
        <f t="shared" ref="AP108:BC108" si="162">AP10/AO10-1</f>
        <v>6.3698498119577618E-3</v>
      </c>
      <c r="AQ108" s="354">
        <f t="shared" si="162"/>
        <v>4.9940964161149459E-2</v>
      </c>
      <c r="AR108" s="354">
        <f t="shared" si="162"/>
        <v>5.9152343980310995E-2</v>
      </c>
      <c r="AS108" s="354">
        <f t="shared" si="162"/>
        <v>9.6878639877052253E-2</v>
      </c>
      <c r="AT108" s="354">
        <f t="shared" si="162"/>
        <v>2.7835975235607435E-2</v>
      </c>
      <c r="AU108" s="354">
        <f t="shared" si="162"/>
        <v>3.5795636762666838E-2</v>
      </c>
      <c r="AV108" s="354">
        <f t="shared" si="162"/>
        <v>1.934087133423823E-2</v>
      </c>
      <c r="AW108" s="354">
        <f t="shared" si="162"/>
        <v>-7.4909406642564846E-4</v>
      </c>
      <c r="AX108" s="354">
        <f t="shared" si="162"/>
        <v>3.3456459758828494E-2</v>
      </c>
      <c r="AY108" s="354">
        <f t="shared" si="162"/>
        <v>1.5227415794020205E-2</v>
      </c>
      <c r="AZ108" s="354">
        <f t="shared" si="162"/>
        <v>2.5062039942743697E-2</v>
      </c>
      <c r="BA108" s="354">
        <f t="shared" si="162"/>
        <v>4.6500051226312511E-3</v>
      </c>
      <c r="BB108" s="354">
        <f t="shared" si="162"/>
        <v>8.2639215023969648E-3</v>
      </c>
      <c r="BC108" s="354">
        <f t="shared" si="162"/>
        <v>0.10631485812175767</v>
      </c>
      <c r="BD108" s="2"/>
      <c r="BE108" s="2"/>
    </row>
    <row r="109" spans="1:57">
      <c r="A109" s="2"/>
      <c r="B109" s="321"/>
      <c r="C109" s="321"/>
      <c r="D109" s="321"/>
      <c r="E109" s="321"/>
      <c r="F109" s="321"/>
      <c r="G109" s="321"/>
      <c r="H109" s="321"/>
      <c r="I109" s="321"/>
      <c r="J109" s="321"/>
      <c r="K109" s="321"/>
      <c r="L109" s="321"/>
      <c r="M109" s="321"/>
      <c r="N109" s="321"/>
      <c r="O109" s="321"/>
      <c r="P109" s="321"/>
      <c r="Q109" s="321"/>
      <c r="R109" s="321"/>
      <c r="S109" s="321"/>
      <c r="T109" s="321"/>
      <c r="U109" s="321"/>
      <c r="V109" s="321"/>
      <c r="W109" s="321"/>
      <c r="X109" s="321"/>
      <c r="Y109" s="321"/>
      <c r="Z109" s="321"/>
      <c r="AA109" s="321"/>
      <c r="AB109" s="321"/>
      <c r="AC109" s="321"/>
      <c r="AD109" s="321"/>
      <c r="AE109" s="322"/>
      <c r="AF109" s="322"/>
      <c r="AG109" s="322"/>
      <c r="AH109" s="322"/>
      <c r="AI109" s="322"/>
      <c r="AJ109" s="322"/>
      <c r="AK109" s="322"/>
      <c r="AL109" s="322"/>
      <c r="AM109" s="322"/>
      <c r="AN109" s="322"/>
      <c r="AO109" s="322"/>
      <c r="AP109" s="322"/>
      <c r="AQ109" s="322"/>
      <c r="AR109" s="322"/>
      <c r="AS109" s="322"/>
      <c r="AT109" s="322"/>
      <c r="AU109" s="322"/>
      <c r="AV109" s="322"/>
      <c r="AW109" s="322"/>
      <c r="AX109" s="322"/>
      <c r="AY109" s="322"/>
      <c r="AZ109" s="322"/>
      <c r="BA109" s="322"/>
      <c r="BB109" s="322"/>
      <c r="BC109" s="322"/>
      <c r="BD109" s="2"/>
      <c r="BE109" s="2"/>
    </row>
    <row r="110" spans="1:57">
      <c r="A110" s="2"/>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c r="Z110" s="321"/>
      <c r="AA110" s="321"/>
      <c r="AB110" s="321"/>
      <c r="AC110" s="321"/>
      <c r="AD110" s="321"/>
      <c r="AE110" s="322"/>
      <c r="AF110" s="322"/>
      <c r="AG110" s="322"/>
      <c r="AH110" s="322"/>
      <c r="AI110" s="322"/>
      <c r="AJ110" s="322"/>
      <c r="AK110" s="322"/>
      <c r="AL110" s="322"/>
      <c r="AM110" s="322"/>
      <c r="AN110" s="322"/>
      <c r="AO110" s="322"/>
      <c r="AP110" s="322"/>
      <c r="AQ110" s="322"/>
      <c r="AR110" s="322"/>
      <c r="AS110" s="322"/>
      <c r="AT110" s="322"/>
      <c r="AU110" s="322"/>
      <c r="AV110" s="322"/>
      <c r="AW110" s="322"/>
      <c r="AX110" s="322"/>
      <c r="AY110" s="322"/>
      <c r="AZ110" s="322"/>
      <c r="BA110" s="322"/>
      <c r="BB110" s="322"/>
      <c r="BC110" s="322"/>
      <c r="BD110" s="2"/>
      <c r="BE110" s="2"/>
    </row>
    <row r="111" spans="1:57">
      <c r="A111" s="2"/>
      <c r="B111" s="321"/>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c r="AA111" s="321"/>
      <c r="AB111" s="321"/>
      <c r="AC111" s="321"/>
      <c r="AD111" s="321"/>
      <c r="AE111" s="322"/>
      <c r="AF111" s="322"/>
      <c r="AG111" s="322"/>
      <c r="AH111" s="322"/>
      <c r="AI111" s="322"/>
      <c r="AJ111" s="322"/>
      <c r="AK111" s="322"/>
      <c r="AL111" s="322"/>
      <c r="AM111" s="322"/>
      <c r="AN111" s="322"/>
      <c r="AO111" s="322"/>
      <c r="AP111" s="322"/>
      <c r="AQ111" s="322"/>
      <c r="AR111" s="322"/>
      <c r="AS111" s="322"/>
      <c r="AT111" s="322"/>
      <c r="AU111" s="322"/>
      <c r="AV111" s="322"/>
      <c r="AW111" s="322"/>
      <c r="AX111" s="322"/>
      <c r="AY111" s="322"/>
      <c r="AZ111" s="322"/>
      <c r="BA111" s="322"/>
      <c r="BB111" s="322"/>
      <c r="BC111" s="322"/>
      <c r="BD111" s="2"/>
      <c r="BE111" s="2"/>
    </row>
    <row r="112" spans="1:57">
      <c r="A112" s="2"/>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c r="AE112" s="322"/>
      <c r="AF112" s="322"/>
      <c r="AG112" s="322"/>
      <c r="AH112" s="322"/>
      <c r="AI112" s="322"/>
      <c r="AJ112" s="322"/>
      <c r="AK112" s="322"/>
      <c r="AL112" s="322"/>
      <c r="AM112" s="322"/>
      <c r="AN112" s="322"/>
      <c r="AO112" s="322"/>
      <c r="AP112" s="322"/>
      <c r="AQ112" s="322"/>
      <c r="AR112" s="322"/>
      <c r="AS112" s="322"/>
      <c r="AT112" s="322"/>
      <c r="AU112" s="322"/>
      <c r="AV112" s="322"/>
      <c r="AW112" s="322"/>
      <c r="AX112" s="322"/>
      <c r="AY112" s="322"/>
      <c r="AZ112" s="322"/>
      <c r="BA112" s="322"/>
      <c r="BB112" s="322"/>
      <c r="BC112" s="322"/>
      <c r="BD112" s="2"/>
      <c r="BE112" s="2"/>
    </row>
    <row r="113" spans="1:57">
      <c r="A113" s="2"/>
      <c r="B113" s="321"/>
      <c r="C113" s="321"/>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c r="Z113" s="321"/>
      <c r="AA113" s="321"/>
      <c r="AB113" s="321"/>
      <c r="AC113" s="321"/>
      <c r="AD113" s="321"/>
      <c r="AE113" s="322"/>
      <c r="AF113" s="322"/>
      <c r="AG113" s="322"/>
      <c r="AH113" s="322"/>
      <c r="AI113" s="322"/>
      <c r="AJ113" s="322"/>
      <c r="AK113" s="322"/>
      <c r="AL113" s="322"/>
      <c r="AM113" s="322"/>
      <c r="AN113" s="322"/>
      <c r="AO113" s="322"/>
      <c r="AP113" s="322"/>
      <c r="AQ113" s="322"/>
      <c r="AR113" s="322"/>
      <c r="AS113" s="322"/>
      <c r="AT113" s="322"/>
      <c r="AU113" s="322"/>
      <c r="AV113" s="322"/>
      <c r="AW113" s="322"/>
      <c r="AX113" s="322"/>
      <c r="AY113" s="322"/>
      <c r="AZ113" s="322"/>
      <c r="BA113" s="322"/>
      <c r="BB113" s="322"/>
      <c r="BC113" s="322"/>
      <c r="BD113" s="2"/>
      <c r="BE113" s="2"/>
    </row>
    <row r="114" spans="1:57">
      <c r="A114" s="2"/>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21"/>
      <c r="AB114" s="321"/>
      <c r="AC114" s="321"/>
      <c r="AD114" s="321"/>
      <c r="AE114" s="322"/>
      <c r="AF114" s="322"/>
      <c r="AG114" s="322"/>
      <c r="AH114" s="322"/>
      <c r="AI114" s="322"/>
      <c r="AJ114" s="322"/>
      <c r="AK114" s="322"/>
      <c r="AL114" s="322"/>
      <c r="AM114" s="322"/>
      <c r="AN114" s="322"/>
      <c r="AO114" s="322"/>
      <c r="AP114" s="322"/>
      <c r="AQ114" s="322"/>
      <c r="AR114" s="322"/>
      <c r="AS114" s="322"/>
      <c r="AT114" s="322"/>
      <c r="AU114" s="322"/>
      <c r="AV114" s="322"/>
      <c r="AW114" s="322"/>
      <c r="AX114" s="322"/>
      <c r="AY114" s="322"/>
      <c r="AZ114" s="322"/>
      <c r="BA114" s="322"/>
      <c r="BB114" s="322"/>
      <c r="BC114" s="322"/>
      <c r="BD114" s="2"/>
      <c r="BE114" s="2"/>
    </row>
    <row r="115" spans="1:57">
      <c r="A115" s="2"/>
      <c r="B115" s="321"/>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c r="Z115" s="321"/>
      <c r="AA115" s="321"/>
      <c r="AB115" s="321"/>
      <c r="AC115" s="321"/>
      <c r="AD115" s="321"/>
      <c r="AE115" s="322"/>
      <c r="AF115" s="322"/>
      <c r="AG115" s="322"/>
      <c r="AH115" s="322"/>
      <c r="AI115" s="322"/>
      <c r="AJ115" s="322"/>
      <c r="AK115" s="322"/>
      <c r="AL115" s="322"/>
      <c r="AM115" s="322"/>
      <c r="AN115" s="322"/>
      <c r="AO115" s="322"/>
      <c r="AP115" s="322"/>
      <c r="AQ115" s="322"/>
      <c r="AR115" s="322"/>
      <c r="AS115" s="322"/>
      <c r="AT115" s="322"/>
      <c r="AU115" s="322"/>
      <c r="AV115" s="322"/>
      <c r="AW115" s="322"/>
      <c r="AX115" s="322"/>
      <c r="AY115" s="322"/>
      <c r="AZ115" s="322"/>
      <c r="BA115" s="322"/>
      <c r="BB115" s="322"/>
      <c r="BC115" s="322"/>
      <c r="BD115" s="2"/>
      <c r="BE115" s="2"/>
    </row>
    <row r="116" spans="1:57">
      <c r="A116" s="2"/>
      <c r="B116" s="321"/>
      <c r="C116" s="321"/>
      <c r="D116" s="321"/>
      <c r="E116" s="321"/>
      <c r="F116" s="321"/>
      <c r="G116" s="321"/>
      <c r="H116" s="321"/>
      <c r="I116" s="321"/>
      <c r="J116" s="321"/>
      <c r="K116" s="321"/>
      <c r="L116" s="321"/>
      <c r="M116" s="321"/>
      <c r="N116" s="321"/>
      <c r="O116" s="321"/>
      <c r="P116" s="321"/>
      <c r="Q116" s="321"/>
      <c r="R116" s="321"/>
      <c r="S116" s="321"/>
      <c r="T116" s="321"/>
      <c r="U116" s="321"/>
      <c r="V116" s="321"/>
      <c r="W116" s="321"/>
      <c r="X116" s="321"/>
      <c r="Y116" s="321"/>
      <c r="Z116" s="321"/>
      <c r="AA116" s="321"/>
      <c r="AB116" s="321"/>
      <c r="AC116" s="321"/>
      <c r="AD116" s="321"/>
      <c r="AE116" s="322"/>
      <c r="AF116" s="322"/>
      <c r="AG116" s="322"/>
      <c r="AH116" s="322"/>
      <c r="AI116" s="322"/>
      <c r="AJ116" s="322"/>
      <c r="AK116" s="322"/>
      <c r="AL116" s="322"/>
      <c r="AM116" s="322"/>
      <c r="AN116" s="322"/>
      <c r="AO116" s="322"/>
      <c r="AP116" s="322"/>
      <c r="AQ116" s="322"/>
      <c r="AR116" s="322"/>
      <c r="AS116" s="322"/>
      <c r="AT116" s="322"/>
      <c r="AU116" s="322"/>
      <c r="AV116" s="322"/>
      <c r="AW116" s="322"/>
      <c r="AX116" s="322"/>
      <c r="AY116" s="322"/>
      <c r="AZ116" s="322"/>
      <c r="BA116" s="322"/>
      <c r="BB116" s="322"/>
      <c r="BC116" s="322"/>
      <c r="BD116" s="2"/>
      <c r="BE116" s="2"/>
    </row>
    <row r="117" spans="1:57">
      <c r="A117" s="2"/>
      <c r="B117" s="321"/>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c r="AA117" s="321"/>
      <c r="AB117" s="321"/>
      <c r="AC117" s="321"/>
      <c r="AD117" s="321"/>
      <c r="AE117" s="322"/>
      <c r="AF117" s="322"/>
      <c r="AG117" s="322"/>
      <c r="AH117" s="322"/>
      <c r="AI117" s="322"/>
      <c r="AJ117" s="322"/>
      <c r="AK117" s="322"/>
      <c r="AL117" s="322"/>
      <c r="AM117" s="322"/>
      <c r="AN117" s="322"/>
      <c r="AO117" s="322"/>
      <c r="AP117" s="322"/>
      <c r="AQ117" s="322"/>
      <c r="AR117" s="322"/>
      <c r="AS117" s="322"/>
      <c r="AT117" s="322"/>
      <c r="AU117" s="322"/>
      <c r="AV117" s="322"/>
      <c r="AW117" s="322"/>
      <c r="AX117" s="322"/>
      <c r="AY117" s="322"/>
      <c r="AZ117" s="322"/>
      <c r="BA117" s="322"/>
      <c r="BB117" s="322"/>
      <c r="BC117" s="322"/>
      <c r="BD117" s="2"/>
      <c r="BE117" s="2"/>
    </row>
    <row r="118" spans="1:57">
      <c r="A118" s="2"/>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c r="AA118" s="321"/>
      <c r="AB118" s="321"/>
      <c r="AC118" s="321"/>
      <c r="AD118" s="321"/>
      <c r="AE118" s="322"/>
      <c r="AF118" s="322"/>
      <c r="AG118" s="322"/>
      <c r="AH118" s="322"/>
      <c r="AI118" s="322"/>
      <c r="AJ118" s="322"/>
      <c r="AK118" s="322"/>
      <c r="AL118" s="322"/>
      <c r="AM118" s="322"/>
      <c r="AN118" s="322"/>
      <c r="AO118" s="322"/>
      <c r="AP118" s="322"/>
      <c r="AQ118" s="322"/>
      <c r="AR118" s="322"/>
      <c r="AS118" s="322"/>
      <c r="AT118" s="322"/>
      <c r="AU118" s="322"/>
      <c r="AV118" s="322"/>
      <c r="AW118" s="322"/>
      <c r="AX118" s="322"/>
      <c r="AY118" s="322"/>
      <c r="AZ118" s="322"/>
      <c r="BA118" s="322"/>
      <c r="BB118" s="322"/>
      <c r="BC118" s="322"/>
      <c r="BD118" s="2"/>
      <c r="BE118" s="2"/>
    </row>
    <row r="119" spans="1:57">
      <c r="A119" s="2"/>
      <c r="B119" s="321"/>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c r="AA119" s="321"/>
      <c r="AB119" s="321"/>
      <c r="AC119" s="321"/>
      <c r="AD119" s="321"/>
      <c r="AE119" s="322"/>
      <c r="AF119" s="322"/>
      <c r="AG119" s="322"/>
      <c r="AH119" s="322"/>
      <c r="AI119" s="322"/>
      <c r="AJ119" s="322"/>
      <c r="AK119" s="322"/>
      <c r="AL119" s="322"/>
      <c r="AM119" s="322"/>
      <c r="AN119" s="322"/>
      <c r="AO119" s="322"/>
      <c r="AP119" s="322"/>
      <c r="AQ119" s="322"/>
      <c r="AR119" s="322"/>
      <c r="AS119" s="322"/>
      <c r="AT119" s="322"/>
      <c r="AU119" s="322"/>
      <c r="AV119" s="322"/>
      <c r="AW119" s="322"/>
      <c r="AX119" s="322"/>
      <c r="AY119" s="322"/>
      <c r="AZ119" s="322"/>
      <c r="BA119" s="322"/>
      <c r="BB119" s="322"/>
      <c r="BC119" s="322"/>
      <c r="BD119" s="2"/>
      <c r="BE119" s="2"/>
    </row>
    <row r="120" spans="1:57">
      <c r="A120" s="2"/>
      <c r="B120" s="321"/>
      <c r="C120" s="321"/>
      <c r="D120" s="321"/>
      <c r="E120" s="321"/>
      <c r="F120" s="321"/>
      <c r="G120" s="321"/>
      <c r="H120" s="321"/>
      <c r="I120" s="321"/>
      <c r="J120" s="321"/>
      <c r="K120" s="321"/>
      <c r="L120" s="321"/>
      <c r="M120" s="321"/>
      <c r="N120" s="321"/>
      <c r="O120" s="321"/>
      <c r="P120" s="321"/>
      <c r="Q120" s="321"/>
      <c r="R120" s="321"/>
      <c r="S120" s="321"/>
      <c r="T120" s="321"/>
      <c r="U120" s="321"/>
      <c r="V120" s="321"/>
      <c r="W120" s="321"/>
      <c r="X120" s="321"/>
      <c r="Y120" s="321"/>
      <c r="Z120" s="321" t="str">
        <f t="shared" ref="Z120:AP120" si="163">Z1</f>
        <v>1Q18</v>
      </c>
      <c r="AA120" s="321" t="str">
        <f t="shared" si="163"/>
        <v>2Q18</v>
      </c>
      <c r="AB120" s="321" t="str">
        <f t="shared" si="163"/>
        <v>3Q18</v>
      </c>
      <c r="AC120" s="321" t="str">
        <f t="shared" si="163"/>
        <v>4Q18</v>
      </c>
      <c r="AD120" s="321" t="str">
        <f t="shared" si="163"/>
        <v>1Q19</v>
      </c>
      <c r="AE120" s="321" t="str">
        <f t="shared" si="163"/>
        <v>2Q19</v>
      </c>
      <c r="AF120" s="321" t="str">
        <f t="shared" si="163"/>
        <v>3Q19</v>
      </c>
      <c r="AG120" s="321" t="str">
        <f t="shared" si="163"/>
        <v>4Q19</v>
      </c>
      <c r="AH120" s="321" t="str">
        <f t="shared" si="163"/>
        <v>1Q20</v>
      </c>
      <c r="AI120" s="321" t="str">
        <f t="shared" si="163"/>
        <v>2Q20</v>
      </c>
      <c r="AJ120" s="321" t="str">
        <f t="shared" si="163"/>
        <v>3Q20</v>
      </c>
      <c r="AK120" s="321" t="str">
        <f t="shared" si="163"/>
        <v>4Q20</v>
      </c>
      <c r="AL120" s="321" t="str">
        <f t="shared" si="163"/>
        <v>1Q21</v>
      </c>
      <c r="AM120" s="321" t="str">
        <f t="shared" si="163"/>
        <v>2Q21</v>
      </c>
      <c r="AN120" s="321" t="str">
        <f t="shared" si="163"/>
        <v>3Q21</v>
      </c>
      <c r="AO120" s="321" t="str">
        <f t="shared" si="163"/>
        <v>4Q21</v>
      </c>
      <c r="AP120" s="321" t="str">
        <f t="shared" si="163"/>
        <v>1Q22</v>
      </c>
      <c r="AQ120" s="321" t="str">
        <f t="shared" ref="AQ120:AR120" si="164">AQ1</f>
        <v>2Q22</v>
      </c>
      <c r="AR120" s="321" t="str">
        <f t="shared" si="164"/>
        <v>3Q22</v>
      </c>
      <c r="AS120" s="321" t="str">
        <f t="shared" ref="AS120:AT120" si="165">AS1</f>
        <v>4Q22</v>
      </c>
      <c r="AT120" s="321" t="str">
        <f t="shared" si="165"/>
        <v>1Q23</v>
      </c>
      <c r="AU120" s="321" t="str">
        <f t="shared" ref="AU120:AV120" si="166">AU1</f>
        <v>2Q23</v>
      </c>
      <c r="AV120" s="321" t="str">
        <f t="shared" si="166"/>
        <v>3Q23</v>
      </c>
      <c r="AW120" s="321" t="str">
        <f t="shared" ref="AW120:AY120" si="167">AW1</f>
        <v>4Q23</v>
      </c>
      <c r="AX120" s="321" t="str">
        <f t="shared" si="167"/>
        <v>1Q24</v>
      </c>
      <c r="AY120" s="321" t="str">
        <f t="shared" si="167"/>
        <v>2Q24</v>
      </c>
      <c r="AZ120" s="321" t="str">
        <f t="shared" ref="AZ120:BA120" si="168">AZ1</f>
        <v>3Q24</v>
      </c>
      <c r="BA120" s="321" t="str">
        <f t="shared" si="168"/>
        <v>4Q24</v>
      </c>
      <c r="BB120" s="321" t="str">
        <f t="shared" ref="BB120:BC120" si="169">BB1</f>
        <v>1Q25</v>
      </c>
      <c r="BC120" s="321" t="str">
        <f t="shared" si="169"/>
        <v>2Q25</v>
      </c>
      <c r="BD120" s="2"/>
      <c r="BE120" s="2"/>
    </row>
    <row r="121" spans="1:57">
      <c r="A121" s="2"/>
      <c r="B121" s="321"/>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t="s">
        <v>616</v>
      </c>
      <c r="Z121" s="388">
        <f t="shared" ref="Z121:AP121" si="170">Z10</f>
        <v>154.48483312278125</v>
      </c>
      <c r="AA121" s="388">
        <f t="shared" si="170"/>
        <v>145</v>
      </c>
      <c r="AB121" s="388">
        <f t="shared" si="170"/>
        <v>123</v>
      </c>
      <c r="AC121" s="388">
        <f t="shared" si="170"/>
        <v>116</v>
      </c>
      <c r="AD121" s="388">
        <f t="shared" si="170"/>
        <v>105</v>
      </c>
      <c r="AE121" s="388">
        <f t="shared" si="170"/>
        <v>100</v>
      </c>
      <c r="AF121" s="388">
        <f t="shared" si="170"/>
        <v>104</v>
      </c>
      <c r="AG121" s="388">
        <f t="shared" si="170"/>
        <v>123</v>
      </c>
      <c r="AH121" s="388">
        <f t="shared" si="170"/>
        <v>129</v>
      </c>
      <c r="AI121" s="388">
        <f t="shared" si="170"/>
        <v>128</v>
      </c>
      <c r="AJ121" s="388">
        <f t="shared" si="170"/>
        <v>134.85133141482592</v>
      </c>
      <c r="AK121" s="388">
        <f t="shared" si="170"/>
        <v>154.07077258806797</v>
      </c>
      <c r="AL121" s="388">
        <f t="shared" si="170"/>
        <v>156.80841376485662</v>
      </c>
      <c r="AM121" s="388">
        <f t="shared" si="170"/>
        <v>162.19167879158945</v>
      </c>
      <c r="AN121" s="388">
        <f t="shared" si="170"/>
        <v>166.08182157874103</v>
      </c>
      <c r="AO121" s="388">
        <f t="shared" si="170"/>
        <v>145.21147435476252</v>
      </c>
      <c r="AP121" s="388">
        <f t="shared" si="170"/>
        <v>146.13644963737531</v>
      </c>
      <c r="AQ121" s="388">
        <f t="shared" ref="AQ121:AR121" si="171">AQ10</f>
        <v>153.4346448313531</v>
      </c>
      <c r="AR121" s="388">
        <f t="shared" si="171"/>
        <v>162.51066372091415</v>
      </c>
      <c r="AS121" s="388">
        <f t="shared" ref="AS121:AT121" si="172">AS10</f>
        <v>178.25447578771332</v>
      </c>
      <c r="AT121" s="388">
        <f t="shared" si="172"/>
        <v>183.21636296137629</v>
      </c>
      <c r="AU121" s="388">
        <f t="shared" ref="AU121:AV121" si="173">AU10</f>
        <v>189.77470933891865</v>
      </c>
      <c r="AV121" s="388">
        <f t="shared" si="173"/>
        <v>193.44511757473515</v>
      </c>
      <c r="AW121" s="388">
        <f t="shared" ref="AW121:AY121" si="174">AW10</f>
        <v>193.30020898498091</v>
      </c>
      <c r="AX121" s="388">
        <f t="shared" si="174"/>
        <v>199.76734964826008</v>
      </c>
      <c r="AY121" s="388">
        <f t="shared" si="174"/>
        <v>202.80929014342357</v>
      </c>
      <c r="AZ121" s="388">
        <f t="shared" ref="AZ121:BA121" si="175">AZ10</f>
        <v>207.89210467375753</v>
      </c>
      <c r="BA121" s="388">
        <f t="shared" si="175"/>
        <v>208.8588040254451</v>
      </c>
      <c r="BB121" s="388">
        <f t="shared" ref="BB121:BC121" si="176">BB10</f>
        <v>210.58479678699587</v>
      </c>
      <c r="BC121" s="388">
        <f t="shared" si="176"/>
        <v>232.97308958000451</v>
      </c>
      <c r="BD121" s="2"/>
      <c r="BE121" s="2"/>
    </row>
    <row r="122" spans="1:57">
      <c r="A122" s="2"/>
      <c r="B122" s="321"/>
      <c r="C122" s="321"/>
      <c r="D122" s="321"/>
      <c r="E122" s="321"/>
      <c r="F122" s="321"/>
      <c r="G122" s="321"/>
      <c r="H122" s="321"/>
      <c r="I122" s="321"/>
      <c r="J122" s="321"/>
      <c r="K122" s="321"/>
      <c r="L122" s="321"/>
      <c r="M122" s="321"/>
      <c r="N122" s="321"/>
      <c r="O122" s="321"/>
      <c r="P122" s="321"/>
      <c r="Q122" s="321"/>
      <c r="R122" s="321"/>
      <c r="S122" s="321"/>
      <c r="T122" s="321"/>
      <c r="U122" s="321"/>
      <c r="V122" s="321"/>
      <c r="W122" s="321"/>
      <c r="X122" s="321"/>
      <c r="Y122" s="321" t="s">
        <v>617</v>
      </c>
      <c r="Z122" s="353">
        <f t="shared" ref="Z122:AP122" si="177">Z37/Z4</f>
        <v>0.17427850201040759</v>
      </c>
      <c r="AA122" s="353">
        <f t="shared" si="177"/>
        <v>0.10035915999815634</v>
      </c>
      <c r="AB122" s="353">
        <f t="shared" si="177"/>
        <v>0.12535460320633685</v>
      </c>
      <c r="AC122" s="353">
        <f t="shared" si="177"/>
        <v>0.15734141594782242</v>
      </c>
      <c r="AD122" s="353">
        <f t="shared" si="177"/>
        <v>0.16914419382175735</v>
      </c>
      <c r="AE122" s="353">
        <f t="shared" si="177"/>
        <v>0.19753038189227201</v>
      </c>
      <c r="AF122" s="353">
        <f t="shared" si="177"/>
        <v>0.27115203958366607</v>
      </c>
      <c r="AG122" s="353">
        <f t="shared" si="177"/>
        <v>0.307132748372488</v>
      </c>
      <c r="AH122" s="353">
        <f t="shared" si="177"/>
        <v>0.34381050658015949</v>
      </c>
      <c r="AI122" s="353">
        <f t="shared" si="177"/>
        <v>0.36900475968936763</v>
      </c>
      <c r="AJ122" s="353">
        <f t="shared" si="177"/>
        <v>0.43737546228751129</v>
      </c>
      <c r="AK122" s="353">
        <f t="shared" si="177"/>
        <v>0.48052581224904739</v>
      </c>
      <c r="AL122" s="353">
        <f t="shared" si="177"/>
        <v>0.49413779303888594</v>
      </c>
      <c r="AM122" s="353">
        <f t="shared" si="177"/>
        <v>0.51979126800362585</v>
      </c>
      <c r="AN122" s="353">
        <f t="shared" si="177"/>
        <v>0.53784591879148425</v>
      </c>
      <c r="AO122" s="353">
        <f t="shared" si="177"/>
        <v>0.5578958390192148</v>
      </c>
      <c r="AP122" s="353">
        <f t="shared" si="177"/>
        <v>0.57411250967868466</v>
      </c>
      <c r="AQ122" s="353">
        <f t="shared" ref="AQ122:AR122" si="178">AQ37/AQ4</f>
        <v>0.59521746281022403</v>
      </c>
      <c r="AR122" s="353">
        <f t="shared" si="178"/>
        <v>0.60554458548810008</v>
      </c>
      <c r="AS122" s="353">
        <f t="shared" ref="AS122:AT122" si="179">AS37/AS4</f>
        <v>0.61582674677879912</v>
      </c>
      <c r="AT122" s="353">
        <f t="shared" si="179"/>
        <v>0.62712641931412927</v>
      </c>
      <c r="AU122" s="353">
        <f t="shared" ref="AU122:AV122" si="180">AU37/AU4</f>
        <v>0.6415546698338207</v>
      </c>
      <c r="AV122" s="353">
        <f t="shared" si="180"/>
        <v>0.65229452111074404</v>
      </c>
      <c r="AW122" s="353">
        <f t="shared" ref="AW122:AY122" si="181">AW37/AW4</f>
        <v>0.66820575461217002</v>
      </c>
      <c r="AX122" s="353">
        <f t="shared" si="181"/>
        <v>0.67859820871713206</v>
      </c>
      <c r="AY122" s="353">
        <f t="shared" si="181"/>
        <v>0.69372778040210792</v>
      </c>
      <c r="AZ122" s="353">
        <f t="shared" ref="AZ122" si="182">AZ37/AZ4</f>
        <v>0.70871155194438251</v>
      </c>
      <c r="BA122" s="353">
        <f>BA37/BA4</f>
        <v>0.71752019966841318</v>
      </c>
      <c r="BB122" s="353">
        <f>BB37/BB4</f>
        <v>0.73178522079480157</v>
      </c>
      <c r="BC122" s="353">
        <f>BC37/BC4</f>
        <v>0.74973150684083811</v>
      </c>
      <c r="BD122" s="2"/>
      <c r="BE122" s="2"/>
    </row>
    <row r="123" spans="1:57">
      <c r="A123" s="2"/>
      <c r="B123" s="85"/>
      <c r="C123" s="85"/>
      <c r="D123" s="85"/>
      <c r="E123" s="85"/>
      <c r="F123" s="85"/>
      <c r="G123" s="85"/>
      <c r="H123" s="85"/>
      <c r="I123" s="85"/>
      <c r="J123" s="85"/>
      <c r="K123" s="85"/>
      <c r="L123" s="85"/>
      <c r="M123" s="85"/>
      <c r="N123" s="85"/>
      <c r="O123" s="85"/>
      <c r="P123" s="85"/>
      <c r="Q123" s="85"/>
      <c r="R123" s="85"/>
      <c r="S123" s="85"/>
      <c r="T123" s="85"/>
      <c r="U123" s="85"/>
      <c r="V123" s="85"/>
      <c r="W123" s="85"/>
      <c r="X123" s="85"/>
      <c r="Y123" s="85"/>
      <c r="Z123" s="85"/>
      <c r="AA123" s="85"/>
      <c r="AB123" s="85"/>
      <c r="AC123" s="85"/>
      <c r="AD123" s="85"/>
      <c r="AE123" s="111"/>
      <c r="AF123" s="111"/>
      <c r="AG123" s="111"/>
      <c r="AH123" s="111"/>
      <c r="AI123" s="111"/>
      <c r="AJ123" s="111"/>
      <c r="AK123" s="111"/>
      <c r="AL123" s="111"/>
      <c r="AM123" s="111"/>
      <c r="AN123" s="111"/>
      <c r="AO123" s="111"/>
      <c r="AP123" s="111"/>
      <c r="AQ123" s="111"/>
      <c r="AR123" s="111"/>
      <c r="AS123" s="111"/>
      <c r="AT123" s="111"/>
      <c r="AU123" s="111"/>
      <c r="AV123" s="111"/>
      <c r="AW123" s="111"/>
      <c r="AX123" s="111"/>
      <c r="AY123" s="111"/>
      <c r="AZ123" s="111"/>
      <c r="BA123" s="111"/>
      <c r="BB123" s="111"/>
      <c r="BC123" s="111"/>
      <c r="BD123" s="2"/>
      <c r="BE123" s="2"/>
    </row>
    <row r="124" spans="1:57">
      <c r="A124" s="2"/>
      <c r="B124" s="85"/>
      <c r="C124" s="85"/>
      <c r="D124" s="85"/>
      <c r="E124" s="85"/>
      <c r="F124" s="85"/>
      <c r="G124" s="85"/>
      <c r="H124" s="85"/>
      <c r="I124" s="85"/>
      <c r="J124" s="85"/>
      <c r="K124" s="85"/>
      <c r="L124" s="85"/>
      <c r="M124" s="85"/>
      <c r="N124" s="85"/>
      <c r="O124" s="85"/>
      <c r="P124" s="85"/>
      <c r="Q124" s="85"/>
      <c r="R124" s="85"/>
      <c r="S124" s="85"/>
      <c r="T124" s="85"/>
      <c r="U124" s="85"/>
      <c r="V124" s="85"/>
      <c r="W124" s="85"/>
      <c r="X124" s="85"/>
      <c r="Y124" s="85"/>
      <c r="Z124" s="85"/>
      <c r="AA124" s="85"/>
      <c r="AB124" s="85"/>
      <c r="AC124" s="85"/>
      <c r="AD124" s="85"/>
      <c r="AE124" s="111"/>
      <c r="AF124" s="111"/>
      <c r="AG124" s="111"/>
      <c r="AH124" s="111"/>
      <c r="AI124" s="111"/>
      <c r="AJ124" s="111"/>
      <c r="AK124" s="111"/>
      <c r="AL124" s="111"/>
      <c r="AM124" s="111"/>
      <c r="AN124" s="111"/>
      <c r="AO124" s="111"/>
      <c r="AP124" s="111"/>
      <c r="AQ124" s="111"/>
      <c r="AR124" s="111"/>
      <c r="AS124" s="111"/>
      <c r="AT124" s="111"/>
      <c r="AU124" s="111"/>
      <c r="AV124" s="111"/>
      <c r="AW124" s="111"/>
      <c r="AX124" s="111"/>
      <c r="AY124" s="111"/>
      <c r="AZ124" s="111"/>
      <c r="BA124" s="111"/>
      <c r="BB124" s="111"/>
      <c r="BC124" s="111"/>
      <c r="BD124" s="2"/>
      <c r="BE124" s="2"/>
    </row>
    <row r="125" spans="1:57">
      <c r="A125" s="2"/>
      <c r="B125" s="85"/>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c r="AA125" s="85"/>
      <c r="AB125" s="85"/>
      <c r="AC125" s="85"/>
      <c r="AD125" s="85"/>
      <c r="AE125" s="111"/>
      <c r="AF125" s="111"/>
      <c r="AG125" s="111"/>
      <c r="AH125" s="111"/>
      <c r="AI125" s="111"/>
      <c r="AJ125" s="111"/>
      <c r="AK125" s="111"/>
      <c r="AL125" s="111"/>
      <c r="AM125" s="111"/>
      <c r="AN125" s="111"/>
      <c r="AO125" s="111"/>
      <c r="AP125" s="111"/>
      <c r="AQ125" s="111"/>
      <c r="AR125" s="111"/>
      <c r="AS125" s="111"/>
      <c r="AT125" s="111"/>
      <c r="AU125" s="111"/>
      <c r="AV125" s="111"/>
      <c r="AW125" s="111"/>
      <c r="AX125" s="111"/>
      <c r="AY125" s="111"/>
      <c r="AZ125" s="111"/>
      <c r="BA125" s="111"/>
      <c r="BB125" s="111"/>
      <c r="BC125" s="111"/>
      <c r="BD125" s="2"/>
      <c r="BE125" s="2"/>
    </row>
    <row r="126" spans="1:57">
      <c r="A126" s="2"/>
      <c r="B126" s="85"/>
      <c r="C126" s="85"/>
      <c r="D126" s="85"/>
      <c r="E126" s="85"/>
      <c r="F126" s="85"/>
      <c r="G126" s="85"/>
      <c r="H126" s="85"/>
      <c r="I126" s="85"/>
      <c r="J126" s="85"/>
      <c r="K126" s="85"/>
      <c r="L126" s="85"/>
      <c r="M126" s="85"/>
      <c r="N126" s="85"/>
      <c r="O126" s="85"/>
      <c r="P126" s="85"/>
      <c r="Q126" s="85"/>
      <c r="R126" s="85"/>
      <c r="S126" s="85"/>
      <c r="T126" s="85"/>
      <c r="U126" s="85"/>
      <c r="V126" s="85"/>
      <c r="W126" s="85"/>
      <c r="X126" s="85"/>
      <c r="Y126" s="85"/>
      <c r="Z126" s="85"/>
      <c r="AA126" s="85"/>
      <c r="AB126" s="85"/>
      <c r="AC126" s="85"/>
      <c r="AD126" s="85"/>
      <c r="AE126" s="111"/>
      <c r="AF126" s="111"/>
      <c r="AG126" s="111"/>
      <c r="AH126" s="111"/>
      <c r="AI126" s="111"/>
      <c r="AJ126" s="111"/>
      <c r="AK126" s="111"/>
      <c r="AL126" s="111"/>
      <c r="AM126" s="111"/>
      <c r="AN126" s="111"/>
      <c r="AO126" s="111"/>
      <c r="AP126" s="111"/>
      <c r="AQ126" s="111"/>
      <c r="AR126" s="111"/>
      <c r="AS126" s="111"/>
      <c r="AT126" s="111"/>
      <c r="AU126" s="111"/>
      <c r="AV126" s="111"/>
      <c r="AW126" s="111"/>
      <c r="AX126" s="111"/>
      <c r="AY126" s="111"/>
      <c r="AZ126" s="111"/>
      <c r="BA126" s="111"/>
      <c r="BB126" s="111"/>
      <c r="BC126" s="111"/>
      <c r="BD126" s="2"/>
      <c r="BE126" s="2"/>
    </row>
    <row r="127" spans="1:57">
      <c r="A127" s="2"/>
      <c r="B127" s="85"/>
      <c r="C127" s="85"/>
      <c r="D127" s="85"/>
      <c r="E127" s="85"/>
      <c r="F127" s="85"/>
      <c r="G127" s="85"/>
      <c r="H127" s="85"/>
      <c r="I127" s="85"/>
      <c r="J127" s="85"/>
      <c r="K127" s="85"/>
      <c r="L127" s="85"/>
      <c r="M127" s="85"/>
      <c r="N127" s="85"/>
      <c r="O127" s="85"/>
      <c r="P127" s="85"/>
      <c r="Q127" s="85"/>
      <c r="R127" s="85"/>
      <c r="S127" s="85"/>
      <c r="T127" s="85"/>
      <c r="U127" s="85"/>
      <c r="V127" s="85"/>
      <c r="W127" s="85"/>
      <c r="X127" s="85"/>
      <c r="Y127" s="85"/>
      <c r="Z127" s="85"/>
      <c r="AA127" s="85"/>
      <c r="AB127" s="85"/>
      <c r="AC127" s="85"/>
      <c r="AD127" s="85"/>
      <c r="AE127" s="111"/>
      <c r="AF127" s="111"/>
      <c r="AG127" s="111"/>
      <c r="AH127" s="111"/>
      <c r="AI127" s="111"/>
      <c r="AJ127" s="111"/>
      <c r="AK127" s="111"/>
      <c r="AL127" s="111"/>
      <c r="AM127" s="111"/>
      <c r="AN127" s="111"/>
      <c r="AO127" s="111"/>
      <c r="AP127" s="111"/>
      <c r="AQ127" s="111"/>
      <c r="AR127" s="111"/>
      <c r="AS127" s="111"/>
      <c r="AT127" s="111"/>
      <c r="AU127" s="111"/>
      <c r="AV127" s="111"/>
      <c r="AW127" s="111"/>
      <c r="AX127" s="111"/>
      <c r="AY127" s="111"/>
      <c r="AZ127" s="111"/>
      <c r="BA127" s="111"/>
      <c r="BB127" s="111"/>
      <c r="BC127" s="111"/>
      <c r="BD127" s="2"/>
      <c r="BE127" s="2"/>
    </row>
    <row r="128" spans="1:57">
      <c r="A128" s="2"/>
      <c r="B128" s="85"/>
      <c r="C128" s="85"/>
      <c r="D128" s="85"/>
      <c r="E128" s="85"/>
      <c r="F128" s="85"/>
      <c r="G128" s="85"/>
      <c r="H128" s="85"/>
      <c r="I128" s="85"/>
      <c r="J128" s="85"/>
      <c r="K128" s="85"/>
      <c r="L128" s="85"/>
      <c r="M128" s="85"/>
      <c r="N128" s="85"/>
      <c r="O128" s="85"/>
      <c r="P128" s="85"/>
      <c r="Q128" s="85"/>
      <c r="R128" s="85"/>
      <c r="S128" s="85"/>
      <c r="T128" s="85"/>
      <c r="U128" s="85"/>
      <c r="V128" s="85"/>
      <c r="W128" s="85"/>
      <c r="X128" s="85"/>
      <c r="Y128" s="85"/>
      <c r="Z128" s="85"/>
      <c r="AA128" s="85"/>
      <c r="AB128" s="85"/>
      <c r="AC128" s="85"/>
      <c r="AD128" s="85"/>
      <c r="AE128" s="111"/>
      <c r="AF128" s="111"/>
      <c r="AG128" s="111"/>
      <c r="AH128" s="111"/>
      <c r="AI128" s="111"/>
      <c r="AJ128" s="111"/>
      <c r="AK128" s="111"/>
      <c r="AL128" s="111"/>
      <c r="AM128" s="111"/>
      <c r="AN128" s="111"/>
      <c r="AO128" s="111"/>
      <c r="AP128" s="111"/>
      <c r="AQ128" s="111"/>
      <c r="AR128" s="111"/>
      <c r="AS128" s="111"/>
      <c r="AT128" s="111"/>
      <c r="AU128" s="111"/>
      <c r="AV128" s="111"/>
      <c r="AW128" s="111"/>
      <c r="AX128" s="111"/>
      <c r="AY128" s="111"/>
      <c r="AZ128" s="111"/>
      <c r="BA128" s="111"/>
      <c r="BB128" s="111"/>
      <c r="BC128" s="111"/>
      <c r="BD128" s="2"/>
      <c r="BE128" s="2"/>
    </row>
    <row r="129" spans="1:57">
      <c r="A129" s="2"/>
      <c r="B129" s="85"/>
      <c r="C129" s="85"/>
      <c r="D129" s="85"/>
      <c r="E129" s="85"/>
      <c r="F129" s="85"/>
      <c r="G129" s="85"/>
      <c r="H129" s="85"/>
      <c r="I129" s="85"/>
      <c r="J129" s="85"/>
      <c r="K129" s="85"/>
      <c r="L129" s="85"/>
      <c r="M129" s="85"/>
      <c r="N129" s="85"/>
      <c r="O129" s="85"/>
      <c r="P129" s="85"/>
      <c r="Q129" s="85"/>
      <c r="R129" s="85"/>
      <c r="S129" s="85"/>
      <c r="T129" s="85"/>
      <c r="U129" s="85"/>
      <c r="V129" s="85"/>
      <c r="W129" s="85"/>
      <c r="X129" s="85"/>
      <c r="Y129" s="85"/>
      <c r="Z129" s="85"/>
      <c r="AA129" s="85"/>
      <c r="AB129" s="85"/>
      <c r="AC129" s="85"/>
      <c r="AD129" s="85"/>
      <c r="AE129" s="111"/>
      <c r="AF129" s="111"/>
      <c r="AG129" s="111"/>
      <c r="AH129" s="111"/>
      <c r="AI129" s="111"/>
      <c r="AJ129" s="111"/>
      <c r="AK129" s="111"/>
      <c r="AL129" s="111"/>
      <c r="AM129" s="111"/>
      <c r="AN129" s="111"/>
      <c r="AO129" s="111"/>
      <c r="AP129" s="111"/>
      <c r="AQ129" s="111"/>
      <c r="AR129" s="111"/>
      <c r="AS129" s="111"/>
      <c r="AT129" s="111"/>
      <c r="AU129" s="111"/>
      <c r="AV129" s="111"/>
      <c r="AW129" s="111"/>
      <c r="AX129" s="111"/>
      <c r="AY129" s="111"/>
      <c r="AZ129" s="111"/>
      <c r="BA129" s="111"/>
      <c r="BB129" s="111"/>
      <c r="BC129" s="111"/>
      <c r="BD129" s="2"/>
      <c r="BE129" s="2"/>
    </row>
    <row r="130" spans="1:57">
      <c r="A130" s="2"/>
      <c r="B130" s="111" t="str">
        <f t="shared" ref="B130:AS130" si="183">B1</f>
        <v>Q1 12</v>
      </c>
      <c r="C130" s="111" t="str">
        <f t="shared" si="183"/>
        <v>Q2 12</v>
      </c>
      <c r="D130" s="111" t="str">
        <f t="shared" si="183"/>
        <v>Q3 12</v>
      </c>
      <c r="E130" s="111" t="str">
        <f t="shared" si="183"/>
        <v>4Q12</v>
      </c>
      <c r="F130" s="111" t="str">
        <f t="shared" si="183"/>
        <v>1Q13</v>
      </c>
      <c r="G130" s="111" t="str">
        <f t="shared" si="183"/>
        <v>2Q13</v>
      </c>
      <c r="H130" s="111" t="str">
        <f t="shared" si="183"/>
        <v>3Q13</v>
      </c>
      <c r="I130" s="111" t="str">
        <f t="shared" si="183"/>
        <v>4Q13</v>
      </c>
      <c r="J130" s="111" t="str">
        <f t="shared" si="183"/>
        <v>1Q14</v>
      </c>
      <c r="K130" s="111" t="str">
        <f t="shared" si="183"/>
        <v>2Q14</v>
      </c>
      <c r="L130" s="111" t="str">
        <f t="shared" si="183"/>
        <v>3Q14</v>
      </c>
      <c r="M130" s="111" t="str">
        <f t="shared" si="183"/>
        <v>4Q14</v>
      </c>
      <c r="N130" s="111" t="str">
        <f t="shared" si="183"/>
        <v>1Q15</v>
      </c>
      <c r="O130" s="111" t="str">
        <f t="shared" si="183"/>
        <v>2Q15</v>
      </c>
      <c r="P130" s="111" t="str">
        <f t="shared" si="183"/>
        <v>3Q15</v>
      </c>
      <c r="Q130" s="111" t="str">
        <f t="shared" si="183"/>
        <v>4Q15</v>
      </c>
      <c r="R130" s="111" t="str">
        <f t="shared" si="183"/>
        <v>1Q16</v>
      </c>
      <c r="S130" s="111" t="str">
        <f t="shared" si="183"/>
        <v>2Q16</v>
      </c>
      <c r="T130" s="111" t="str">
        <f t="shared" si="183"/>
        <v>3Q16</v>
      </c>
      <c r="U130" s="111" t="str">
        <f t="shared" si="183"/>
        <v>4Q16</v>
      </c>
      <c r="V130" s="111" t="str">
        <f t="shared" si="183"/>
        <v>1Q17</v>
      </c>
      <c r="W130" s="111" t="str">
        <f t="shared" si="183"/>
        <v>2Q17</v>
      </c>
      <c r="X130" s="111" t="str">
        <f t="shared" si="183"/>
        <v>3Q17</v>
      </c>
      <c r="Y130" s="111" t="str">
        <f t="shared" si="183"/>
        <v>4Q17</v>
      </c>
      <c r="Z130" s="111" t="str">
        <f t="shared" si="183"/>
        <v>1Q18</v>
      </c>
      <c r="AA130" s="111" t="str">
        <f t="shared" si="183"/>
        <v>2Q18</v>
      </c>
      <c r="AB130" s="111" t="str">
        <f t="shared" si="183"/>
        <v>3Q18</v>
      </c>
      <c r="AC130" s="111" t="str">
        <f t="shared" si="183"/>
        <v>4Q18</v>
      </c>
      <c r="AD130" s="111" t="str">
        <f t="shared" si="183"/>
        <v>1Q19</v>
      </c>
      <c r="AE130" s="111" t="str">
        <f t="shared" si="183"/>
        <v>2Q19</v>
      </c>
      <c r="AF130" s="111" t="str">
        <f t="shared" si="183"/>
        <v>3Q19</v>
      </c>
      <c r="AG130" s="111" t="str">
        <f t="shared" si="183"/>
        <v>4Q19</v>
      </c>
      <c r="AH130" s="111" t="str">
        <f t="shared" si="183"/>
        <v>1Q20</v>
      </c>
      <c r="AI130" s="111" t="str">
        <f t="shared" si="183"/>
        <v>2Q20</v>
      </c>
      <c r="AJ130" s="111" t="str">
        <f t="shared" si="183"/>
        <v>3Q20</v>
      </c>
      <c r="AK130" s="111" t="str">
        <f t="shared" si="183"/>
        <v>4Q20</v>
      </c>
      <c r="AL130" s="111" t="str">
        <f t="shared" si="183"/>
        <v>1Q21</v>
      </c>
      <c r="AM130" s="111" t="str">
        <f t="shared" si="183"/>
        <v>2Q21</v>
      </c>
      <c r="AN130" s="111" t="str">
        <f t="shared" si="183"/>
        <v>3Q21</v>
      </c>
      <c r="AO130" s="111" t="str">
        <f t="shared" si="183"/>
        <v>4Q21</v>
      </c>
      <c r="AP130" s="111" t="str">
        <f t="shared" si="183"/>
        <v>1Q22</v>
      </c>
      <c r="AQ130" s="111" t="str">
        <f t="shared" si="183"/>
        <v>2Q22</v>
      </c>
      <c r="AR130" s="111" t="str">
        <f t="shared" si="183"/>
        <v>3Q22</v>
      </c>
      <c r="AS130" s="111" t="str">
        <f t="shared" si="183"/>
        <v>4Q22</v>
      </c>
      <c r="AT130" s="111" t="str">
        <f t="shared" ref="AT130:AY130" si="184">AT1</f>
        <v>1Q23</v>
      </c>
      <c r="AU130" s="111" t="str">
        <f t="shared" si="184"/>
        <v>2Q23</v>
      </c>
      <c r="AV130" s="111" t="str">
        <f t="shared" si="184"/>
        <v>3Q23</v>
      </c>
      <c r="AW130" s="111" t="str">
        <f t="shared" si="184"/>
        <v>4Q23</v>
      </c>
      <c r="AX130" s="111" t="str">
        <f t="shared" si="184"/>
        <v>1Q24</v>
      </c>
      <c r="AY130" s="111" t="str">
        <f t="shared" si="184"/>
        <v>2Q24</v>
      </c>
      <c r="AZ130" s="111" t="str">
        <f t="shared" ref="AZ130:BA130" si="185">AZ1</f>
        <v>3Q24</v>
      </c>
      <c r="BA130" s="111" t="str">
        <f t="shared" si="185"/>
        <v>4Q24</v>
      </c>
      <c r="BB130" s="111" t="str">
        <f t="shared" ref="BB130:BC130" si="186">BB1</f>
        <v>1Q25</v>
      </c>
      <c r="BC130" s="111" t="str">
        <f t="shared" si="186"/>
        <v>2Q25</v>
      </c>
      <c r="BD130" s="2"/>
      <c r="BE130" s="2"/>
    </row>
    <row r="131" spans="1:57">
      <c r="A131" s="2"/>
      <c r="B131" s="121" t="e">
        <f>AVERAGE(#REF!)</f>
        <v>#REF!</v>
      </c>
      <c r="C131" s="121" t="e">
        <f>AVERAGE(#REF!)</f>
        <v>#REF!</v>
      </c>
      <c r="D131" s="121" t="e">
        <f t="shared" ref="D131:AS131" si="187">AVERAGE(A8:D8)</f>
        <v>#DIV/0!</v>
      </c>
      <c r="E131" s="121">
        <f t="shared" si="187"/>
        <v>8.8063733478201803E-2</v>
      </c>
      <c r="F131" s="121">
        <f t="shared" si="187"/>
        <v>8.7796624031624013E-2</v>
      </c>
      <c r="G131" s="121">
        <f t="shared" si="187"/>
        <v>8.6834826942335699E-2</v>
      </c>
      <c r="H131" s="121">
        <f t="shared" si="187"/>
        <v>7.979252090772862E-2</v>
      </c>
      <c r="I131" s="121">
        <f t="shared" si="187"/>
        <v>6.5728158770670245E-2</v>
      </c>
      <c r="J131" s="121">
        <f t="shared" si="187"/>
        <v>5.1857016107866805E-2</v>
      </c>
      <c r="K131" s="121">
        <f t="shared" si="187"/>
        <v>3.867275610745205E-2</v>
      </c>
      <c r="L131" s="121">
        <f t="shared" si="187"/>
        <v>3.0720233401900592E-2</v>
      </c>
      <c r="M131" s="121">
        <f t="shared" si="187"/>
        <v>2.8826269317969645E-2</v>
      </c>
      <c r="N131" s="121">
        <f t="shared" si="187"/>
        <v>2.7562111433705131E-2</v>
      </c>
      <c r="O131" s="121">
        <f t="shared" si="187"/>
        <v>2.718675990639462E-2</v>
      </c>
      <c r="P131" s="121">
        <f t="shared" si="187"/>
        <v>2.7113465292159852E-2</v>
      </c>
      <c r="Q131" s="121">
        <f t="shared" si="187"/>
        <v>2.7337679626742689E-2</v>
      </c>
      <c r="R131" s="121">
        <f t="shared" si="187"/>
        <v>2.8827600140910487E-2</v>
      </c>
      <c r="S131" s="121">
        <f t="shared" si="187"/>
        <v>2.9871593112603796E-2</v>
      </c>
      <c r="T131" s="121">
        <f t="shared" si="187"/>
        <v>3.1853335785331255E-2</v>
      </c>
      <c r="U131" s="121">
        <f t="shared" si="187"/>
        <v>3.3745930870161422E-2</v>
      </c>
      <c r="V131" s="121">
        <f t="shared" si="187"/>
        <v>3.4422027362355279E-2</v>
      </c>
      <c r="W131" s="121">
        <f t="shared" si="187"/>
        <v>3.4878832682573413E-2</v>
      </c>
      <c r="X131" s="121">
        <f t="shared" si="187"/>
        <v>3.6580429576163059E-2</v>
      </c>
      <c r="Y131" s="121">
        <f t="shared" si="187"/>
        <v>3.7473397037265425E-2</v>
      </c>
      <c r="Z131" s="121">
        <f t="shared" si="187"/>
        <v>3.8073727611877342E-2</v>
      </c>
      <c r="AA131" s="121">
        <f t="shared" si="187"/>
        <v>3.8654732656751387E-2</v>
      </c>
      <c r="AB131" s="121">
        <f t="shared" si="187"/>
        <v>3.6691753578116396E-2</v>
      </c>
      <c r="AC131" s="121">
        <f t="shared" si="187"/>
        <v>3.4536097634855677E-2</v>
      </c>
      <c r="AD131" s="121">
        <f t="shared" si="187"/>
        <v>2.9984533681321909E-2</v>
      </c>
      <c r="AE131" s="121">
        <f t="shared" si="187"/>
        <v>3.0462171726263924E-2</v>
      </c>
      <c r="AF131" s="121">
        <f t="shared" si="187"/>
        <v>4.0344944300629237E-2</v>
      </c>
      <c r="AG131" s="121">
        <f t="shared" si="187"/>
        <v>4.043321621481346E-2</v>
      </c>
      <c r="AH131" s="121">
        <f t="shared" si="187"/>
        <v>4.1971354488180061E-2</v>
      </c>
      <c r="AI131" s="121">
        <f t="shared" si="187"/>
        <v>3.6993716443238039E-2</v>
      </c>
      <c r="AJ131" s="121">
        <f t="shared" si="187"/>
        <v>2.5330729082671609E-2</v>
      </c>
      <c r="AK131" s="121">
        <f t="shared" si="187"/>
        <v>2.475703386047276E-2</v>
      </c>
      <c r="AL131" s="121">
        <f t="shared" si="187"/>
        <v>2.3788901484896229E-2</v>
      </c>
      <c r="AM131" s="121">
        <f t="shared" si="187"/>
        <v>2.284311355613516E-2</v>
      </c>
      <c r="AN131" s="121">
        <f t="shared" si="187"/>
        <v>2.1073736081520952E-2</v>
      </c>
      <c r="AO131" s="121">
        <f t="shared" si="187"/>
        <v>2.0265621994278421E-2</v>
      </c>
      <c r="AP131" s="121">
        <f t="shared" si="187"/>
        <v>2.1729092730325705E-2</v>
      </c>
      <c r="AQ131" s="121">
        <f t="shared" si="187"/>
        <v>2.4934424847383209E-2</v>
      </c>
      <c r="AR131" s="121">
        <f t="shared" si="187"/>
        <v>2.7428727157365638E-2</v>
      </c>
      <c r="AS131" s="121">
        <f t="shared" si="187"/>
        <v>2.8845298293277862E-2</v>
      </c>
      <c r="AT131" s="121">
        <f t="shared" ref="AT131:BC131" si="188">AVERAGE(AQ8:AT8)</f>
        <v>2.9281417122305323E-2</v>
      </c>
      <c r="AU131" s="121">
        <f t="shared" si="188"/>
        <v>2.9908490916192507E-2</v>
      </c>
      <c r="AV131" s="121">
        <f t="shared" si="188"/>
        <v>3.0015141696454244E-2</v>
      </c>
      <c r="AW131" s="121">
        <f t="shared" si="188"/>
        <v>2.9987693775362017E-2</v>
      </c>
      <c r="AX131" s="121">
        <f t="shared" si="188"/>
        <v>2.9514293222378182E-2</v>
      </c>
      <c r="AY131" s="121">
        <f t="shared" si="188"/>
        <v>2.8681096722767297E-2</v>
      </c>
      <c r="AZ131" s="121">
        <f t="shared" si="188"/>
        <v>2.8398397448454536E-2</v>
      </c>
      <c r="BA131" s="121">
        <f t="shared" si="188"/>
        <v>2.7307967254928713E-2</v>
      </c>
      <c r="BB131" s="121">
        <f t="shared" si="188"/>
        <v>2.7386901689694387E-2</v>
      </c>
      <c r="BC131" s="121">
        <f t="shared" si="188"/>
        <v>2.8172060285357715E-2</v>
      </c>
      <c r="BD131" s="2"/>
      <c r="BE131" s="2"/>
    </row>
    <row r="132" spans="1:57">
      <c r="A132" s="2"/>
      <c r="B132" s="85"/>
      <c r="C132" s="85"/>
      <c r="D132" s="85"/>
      <c r="E132" s="85"/>
      <c r="F132" s="85"/>
      <c r="G132" s="85"/>
      <c r="H132" s="85"/>
      <c r="I132" s="85"/>
      <c r="J132" s="85"/>
      <c r="K132" s="85"/>
      <c r="L132" s="85"/>
      <c r="M132" s="85"/>
      <c r="N132" s="85"/>
      <c r="O132" s="85"/>
      <c r="P132" s="85"/>
      <c r="Q132" s="85"/>
      <c r="R132" s="85"/>
      <c r="S132" s="85"/>
      <c r="T132" s="85"/>
      <c r="U132" s="85"/>
      <c r="V132" s="85"/>
      <c r="W132" s="85"/>
      <c r="X132" s="85"/>
      <c r="Y132" s="85"/>
      <c r="Z132" s="85"/>
      <c r="AA132" s="85"/>
      <c r="AB132" s="85"/>
      <c r="AC132" s="85"/>
      <c r="AD132" s="85"/>
      <c r="AE132" s="111"/>
      <c r="AF132" s="111"/>
      <c r="AG132" s="111"/>
      <c r="AH132" s="111"/>
      <c r="AI132" s="111"/>
      <c r="AJ132" s="111"/>
      <c r="AK132" s="111"/>
      <c r="AL132" s="111"/>
      <c r="AM132" s="111"/>
      <c r="AN132" s="111"/>
      <c r="AO132" s="111"/>
      <c r="AP132" s="111"/>
      <c r="AQ132" s="111"/>
      <c r="AR132" s="111"/>
      <c r="AS132" s="111"/>
      <c r="AT132" s="111"/>
      <c r="AU132" s="111"/>
      <c r="AV132" s="111"/>
      <c r="AW132" s="111"/>
      <c r="AX132" s="111"/>
      <c r="AY132" s="111"/>
      <c r="AZ132" s="111"/>
      <c r="BA132" s="111"/>
      <c r="BB132" s="111"/>
      <c r="BC132" s="111"/>
      <c r="BD132" s="2"/>
      <c r="BE132" s="2"/>
    </row>
    <row r="133" spans="1:57">
      <c r="A133" s="2"/>
      <c r="B133" s="85"/>
      <c r="C133" s="85"/>
      <c r="D133" s="85"/>
      <c r="E133" s="85"/>
      <c r="F133" s="85"/>
      <c r="G133" s="85"/>
      <c r="H133" s="85"/>
      <c r="I133" s="85"/>
      <c r="J133" s="85"/>
      <c r="K133" s="85"/>
      <c r="L133" s="85"/>
      <c r="M133" s="85"/>
      <c r="N133" s="85"/>
      <c r="O133" s="85"/>
      <c r="P133" s="85"/>
      <c r="Q133" s="85"/>
      <c r="R133" s="85"/>
      <c r="S133" s="85"/>
      <c r="T133" s="85"/>
      <c r="U133" s="85"/>
      <c r="V133" s="85"/>
      <c r="W133" s="85"/>
      <c r="X133" s="85"/>
      <c r="Y133" s="85"/>
      <c r="Z133" s="85"/>
      <c r="AA133" s="85"/>
      <c r="AB133" s="85"/>
      <c r="AC133" s="85"/>
      <c r="AD133" s="85"/>
      <c r="AE133" s="111"/>
      <c r="AF133" s="111"/>
      <c r="AG133" s="111"/>
      <c r="AH133" s="111"/>
      <c r="AI133" s="111"/>
      <c r="AJ133" s="111"/>
      <c r="AK133" s="111"/>
      <c r="AL133" s="111"/>
      <c r="AM133" s="111"/>
      <c r="AN133" s="111"/>
      <c r="AO133" s="111"/>
      <c r="AP133" s="111"/>
      <c r="AQ133" s="111"/>
      <c r="AR133" s="111"/>
      <c r="AS133" s="111"/>
      <c r="AT133" s="111"/>
      <c r="AU133" s="111"/>
      <c r="AV133" s="111"/>
      <c r="AW133" s="111"/>
      <c r="AX133" s="111"/>
      <c r="AY133" s="111"/>
      <c r="AZ133" s="111"/>
      <c r="BA133" s="111"/>
      <c r="BB133" s="111"/>
      <c r="BC133" s="111"/>
      <c r="BD133" s="2"/>
      <c r="BE133" s="2"/>
    </row>
    <row r="134" spans="1:57">
      <c r="A134" s="2"/>
      <c r="B134" s="85"/>
      <c r="C134" s="85"/>
      <c r="D134" s="85"/>
      <c r="E134" s="85"/>
      <c r="F134" s="85"/>
      <c r="G134" s="85"/>
      <c r="H134" s="85"/>
      <c r="I134" s="85"/>
      <c r="J134" s="85"/>
      <c r="K134" s="85"/>
      <c r="L134" s="85"/>
      <c r="M134" s="85"/>
      <c r="N134" s="85"/>
      <c r="O134" s="85"/>
      <c r="P134" s="85"/>
      <c r="Q134" s="85"/>
      <c r="R134" s="85"/>
      <c r="S134" s="85"/>
      <c r="T134" s="85"/>
      <c r="U134" s="85"/>
      <c r="V134" s="85"/>
      <c r="W134" s="85"/>
      <c r="X134" s="85"/>
      <c r="Y134" s="85"/>
      <c r="Z134" s="85"/>
      <c r="AA134" s="85"/>
      <c r="AB134" s="85"/>
      <c r="AC134" s="85"/>
      <c r="AD134" s="85"/>
      <c r="AE134" s="111"/>
      <c r="AF134" s="111"/>
      <c r="AG134" s="111"/>
      <c r="AH134" s="111"/>
      <c r="AI134" s="111"/>
      <c r="AJ134" s="111"/>
      <c r="AK134" s="111"/>
      <c r="AL134" s="111"/>
      <c r="AM134" s="111"/>
      <c r="AN134" s="111"/>
      <c r="AO134" s="111"/>
      <c r="AP134" s="111"/>
      <c r="AQ134" s="111"/>
      <c r="AR134" s="111"/>
      <c r="AS134" s="111"/>
      <c r="AT134" s="111"/>
      <c r="AU134" s="111"/>
      <c r="AV134" s="111"/>
      <c r="AW134" s="111"/>
      <c r="AX134" s="111"/>
      <c r="AY134" s="111"/>
      <c r="AZ134" s="111"/>
      <c r="BA134" s="111"/>
      <c r="BB134" s="111"/>
      <c r="BC134" s="111"/>
      <c r="BD134" s="2"/>
      <c r="BE134" s="2"/>
    </row>
    <row r="135" spans="1:57">
      <c r="A135" s="2"/>
      <c r="B135" s="85"/>
      <c r="C135" s="85"/>
      <c r="D135" s="85"/>
      <c r="E135" s="85"/>
      <c r="F135" s="85"/>
      <c r="G135" s="85"/>
      <c r="H135" s="85"/>
      <c r="I135" s="85"/>
      <c r="J135" s="85"/>
      <c r="K135" s="85"/>
      <c r="L135" s="85"/>
      <c r="M135" s="85"/>
      <c r="N135" s="85"/>
      <c r="O135" s="85"/>
      <c r="P135" s="85"/>
      <c r="Q135" s="85"/>
      <c r="R135" s="85"/>
      <c r="S135" s="85"/>
      <c r="T135" s="85"/>
      <c r="U135" s="85"/>
      <c r="V135" s="85"/>
      <c r="W135" s="85"/>
      <c r="X135" s="85"/>
      <c r="Y135" s="85"/>
      <c r="Z135" s="85"/>
      <c r="AA135" s="85"/>
      <c r="AB135" s="85"/>
      <c r="AC135" s="85"/>
      <c r="AD135" s="85"/>
      <c r="AE135" s="111"/>
      <c r="AF135" s="111"/>
      <c r="AG135" s="111"/>
      <c r="AH135" s="111"/>
      <c r="AI135" s="111"/>
      <c r="AJ135" s="111"/>
      <c r="AK135" s="111"/>
      <c r="AL135" s="111"/>
      <c r="AM135" s="111"/>
      <c r="AN135" s="111"/>
      <c r="AO135" s="111"/>
      <c r="AP135" s="111"/>
      <c r="AQ135" s="111"/>
      <c r="AR135" s="111"/>
      <c r="AS135" s="111"/>
      <c r="AT135" s="111"/>
      <c r="AU135" s="111"/>
      <c r="AV135" s="111"/>
      <c r="AW135" s="111"/>
      <c r="AX135" s="111"/>
      <c r="AY135" s="111"/>
      <c r="AZ135" s="111"/>
      <c r="BA135" s="111"/>
      <c r="BB135" s="111"/>
      <c r="BC135" s="111"/>
      <c r="BD135" s="2"/>
      <c r="BE135" s="2"/>
    </row>
    <row r="136" spans="1:57">
      <c r="A136" s="2"/>
      <c r="B136" s="85"/>
      <c r="C136" s="85"/>
      <c r="D136" s="85"/>
      <c r="E136" s="85"/>
      <c r="F136" s="85"/>
      <c r="G136" s="85"/>
      <c r="H136" s="85"/>
      <c r="I136" s="85"/>
      <c r="J136" s="85"/>
      <c r="K136" s="85"/>
      <c r="L136" s="85"/>
      <c r="M136" s="85"/>
      <c r="N136" s="85"/>
      <c r="O136" s="85"/>
      <c r="P136" s="85"/>
      <c r="Q136" s="85"/>
      <c r="R136" s="85"/>
      <c r="S136" s="85"/>
      <c r="T136" s="85"/>
      <c r="U136" s="85"/>
      <c r="V136" s="85"/>
      <c r="W136" s="85"/>
      <c r="X136" s="85"/>
      <c r="Y136" s="85"/>
      <c r="Z136" s="85"/>
      <c r="AA136" s="85"/>
      <c r="AB136" s="85"/>
      <c r="AC136" s="85"/>
      <c r="AD136" s="85"/>
      <c r="AE136" s="111"/>
      <c r="AF136" s="111"/>
      <c r="AG136" s="111"/>
      <c r="AH136" s="111"/>
      <c r="AI136" s="111"/>
      <c r="AJ136" s="111"/>
      <c r="AK136" s="111"/>
      <c r="AL136" s="111"/>
      <c r="AM136" s="111"/>
      <c r="AN136" s="111"/>
      <c r="AO136" s="111"/>
      <c r="AP136" s="111"/>
      <c r="AQ136" s="111"/>
      <c r="AR136" s="111"/>
      <c r="AS136" s="111"/>
      <c r="AT136" s="111"/>
      <c r="AU136" s="111"/>
      <c r="AV136" s="111"/>
      <c r="AW136" s="111"/>
      <c r="AX136" s="111"/>
      <c r="AY136" s="111"/>
      <c r="AZ136" s="111"/>
      <c r="BA136" s="111"/>
      <c r="BB136" s="111"/>
      <c r="BC136" s="111"/>
      <c r="BD136" s="2"/>
      <c r="BE136" s="2"/>
    </row>
    <row r="137" spans="1:57">
      <c r="A137" s="2"/>
      <c r="B137" s="85"/>
      <c r="C137" s="85"/>
      <c r="D137" s="85"/>
      <c r="E137" s="85"/>
      <c r="F137" s="85"/>
      <c r="G137" s="85"/>
      <c r="H137" s="85"/>
      <c r="I137" s="85"/>
      <c r="J137" s="85"/>
      <c r="K137" s="85"/>
      <c r="L137" s="85"/>
      <c r="M137" s="85"/>
      <c r="N137" s="85"/>
      <c r="O137" s="85"/>
      <c r="P137" s="85"/>
      <c r="Q137" s="85"/>
      <c r="R137" s="85"/>
      <c r="S137" s="85"/>
      <c r="T137" s="85"/>
      <c r="U137" s="85"/>
      <c r="V137" s="85"/>
      <c r="W137" s="85"/>
      <c r="X137" s="85"/>
      <c r="Y137" s="85"/>
      <c r="Z137" s="85"/>
      <c r="AA137" s="85"/>
      <c r="AB137" s="85"/>
      <c r="AC137" s="85"/>
      <c r="AD137" s="85"/>
      <c r="AE137" s="111"/>
      <c r="AF137" s="111"/>
      <c r="AG137" s="111"/>
      <c r="AH137" s="111"/>
      <c r="AI137" s="111"/>
      <c r="AJ137" s="111"/>
      <c r="AK137" s="111"/>
      <c r="AL137" s="111"/>
      <c r="AM137" s="111"/>
      <c r="AN137" s="111"/>
      <c r="AO137" s="111"/>
      <c r="AP137" s="111"/>
      <c r="AQ137" s="111"/>
      <c r="AR137" s="111"/>
      <c r="AS137" s="111"/>
      <c r="AT137" s="111"/>
      <c r="AU137" s="111"/>
      <c r="AV137" s="111"/>
      <c r="AW137" s="111"/>
      <c r="AX137" s="111"/>
      <c r="AY137" s="111"/>
      <c r="AZ137" s="111"/>
      <c r="BA137" s="111"/>
      <c r="BB137" s="111"/>
      <c r="BC137" s="111"/>
      <c r="BD137" s="2"/>
      <c r="BE137" s="2"/>
    </row>
    <row r="138" spans="1:57">
      <c r="A138" s="2"/>
      <c r="B138" s="85"/>
      <c r="C138" s="85"/>
      <c r="D138" s="85"/>
      <c r="E138" s="85"/>
      <c r="F138" s="85"/>
      <c r="G138" s="85"/>
      <c r="H138" s="85"/>
      <c r="I138" s="85"/>
      <c r="J138" s="85"/>
      <c r="K138" s="85"/>
      <c r="L138" s="85"/>
      <c r="M138" s="85"/>
      <c r="N138" s="85"/>
      <c r="O138" s="85"/>
      <c r="P138" s="85"/>
      <c r="Q138" s="85"/>
      <c r="R138" s="85"/>
      <c r="S138" s="85"/>
      <c r="T138" s="85"/>
      <c r="U138" s="85"/>
      <c r="V138" s="85"/>
      <c r="W138" s="85"/>
      <c r="X138" s="85"/>
      <c r="Y138" s="85"/>
      <c r="Z138" s="85"/>
      <c r="AA138" s="85"/>
      <c r="AB138" s="85"/>
      <c r="AC138" s="85"/>
      <c r="AD138" s="85"/>
      <c r="AE138" s="111"/>
      <c r="AF138" s="111"/>
      <c r="AG138" s="111"/>
      <c r="AH138" s="111"/>
      <c r="AI138" s="111"/>
      <c r="AJ138" s="111"/>
      <c r="AK138" s="111"/>
      <c r="AL138" s="111"/>
      <c r="AM138" s="111"/>
      <c r="AN138" s="111"/>
      <c r="AO138" s="111"/>
      <c r="AP138" s="111"/>
      <c r="AQ138" s="111"/>
      <c r="AR138" s="111"/>
      <c r="AS138" s="111"/>
      <c r="AT138" s="111"/>
      <c r="AU138" s="111"/>
      <c r="AV138" s="111"/>
      <c r="AW138" s="111"/>
      <c r="AX138" s="111"/>
      <c r="AY138" s="111"/>
      <c r="AZ138" s="111"/>
      <c r="BA138" s="111"/>
      <c r="BB138" s="111"/>
      <c r="BC138" s="111"/>
      <c r="BD138" s="2"/>
      <c r="BE138" s="2"/>
    </row>
    <row r="139" spans="1:57">
      <c r="A139" s="2"/>
      <c r="B139" s="85"/>
      <c r="C139" s="85"/>
      <c r="D139" s="85"/>
      <c r="E139" s="85"/>
      <c r="F139" s="85"/>
      <c r="G139" s="85"/>
      <c r="H139" s="85"/>
      <c r="I139" s="85"/>
      <c r="J139" s="85"/>
      <c r="K139" s="85"/>
      <c r="L139" s="85"/>
      <c r="M139" s="85"/>
      <c r="N139" s="85"/>
      <c r="O139" s="85"/>
      <c r="P139" s="85"/>
      <c r="Q139" s="85"/>
      <c r="R139" s="85"/>
      <c r="S139" s="85"/>
      <c r="T139" s="85"/>
      <c r="U139" s="85"/>
      <c r="V139" s="85"/>
      <c r="W139" s="85"/>
      <c r="X139" s="85"/>
      <c r="Y139" s="85"/>
      <c r="Z139" s="85"/>
      <c r="AA139" s="85"/>
      <c r="AB139" s="85"/>
      <c r="AC139" s="85"/>
      <c r="AD139" s="85"/>
      <c r="AE139" s="111"/>
      <c r="AF139" s="111"/>
      <c r="AG139" s="111"/>
      <c r="AH139" s="111"/>
      <c r="AI139" s="111"/>
      <c r="AJ139" s="111"/>
      <c r="AK139" s="111"/>
      <c r="AL139" s="111"/>
      <c r="AM139" s="111"/>
      <c r="AN139" s="111"/>
      <c r="AO139" s="111"/>
      <c r="AP139" s="111"/>
      <c r="AQ139" s="111"/>
      <c r="AR139" s="111"/>
      <c r="AS139" s="111"/>
      <c r="AT139" s="111"/>
      <c r="AU139" s="111"/>
      <c r="AV139" s="111"/>
      <c r="AW139" s="111"/>
      <c r="AX139" s="111"/>
      <c r="AY139" s="111"/>
      <c r="AZ139" s="111"/>
      <c r="BA139" s="111"/>
      <c r="BB139" s="111"/>
      <c r="BC139" s="111"/>
      <c r="BD139" s="2"/>
      <c r="BE139" s="2"/>
    </row>
    <row r="140" spans="1:57">
      <c r="A140" s="2"/>
      <c r="B140" s="85"/>
      <c r="C140" s="85"/>
      <c r="D140" s="85"/>
      <c r="E140" s="85"/>
      <c r="F140" s="85"/>
      <c r="G140" s="85"/>
      <c r="H140" s="85"/>
      <c r="I140" s="85"/>
      <c r="J140" s="85"/>
      <c r="K140" s="85"/>
      <c r="L140" s="85"/>
      <c r="M140" s="85"/>
      <c r="N140" s="85"/>
      <c r="O140" s="85"/>
      <c r="P140" s="85"/>
      <c r="Q140" s="85"/>
      <c r="R140" s="85"/>
      <c r="S140" s="85"/>
      <c r="T140" s="85"/>
      <c r="U140" s="85"/>
      <c r="V140" s="85"/>
      <c r="W140" s="85"/>
      <c r="X140" s="85"/>
      <c r="Y140" s="85"/>
      <c r="Z140" s="85"/>
      <c r="AA140" s="85"/>
      <c r="AB140" s="85"/>
      <c r="AC140" s="85"/>
      <c r="AD140" s="85"/>
      <c r="AE140" s="111"/>
      <c r="AF140" s="111"/>
      <c r="AG140" s="111"/>
      <c r="AH140" s="111"/>
      <c r="AI140" s="111"/>
      <c r="AJ140" s="111"/>
      <c r="AK140" s="111"/>
      <c r="AL140" s="111"/>
      <c r="AM140" s="111"/>
      <c r="AN140" s="111"/>
      <c r="AO140" s="111"/>
      <c r="AP140" s="111"/>
      <c r="AQ140" s="111"/>
      <c r="AR140" s="111"/>
      <c r="AS140" s="111"/>
      <c r="AT140" s="111"/>
      <c r="AU140" s="111"/>
      <c r="AV140" s="111"/>
      <c r="AW140" s="111"/>
      <c r="AX140" s="111"/>
      <c r="AY140" s="111"/>
      <c r="AZ140" s="111"/>
      <c r="BA140" s="111"/>
      <c r="BB140" s="111"/>
      <c r="BC140" s="111"/>
      <c r="BD140" s="2"/>
      <c r="BE140" s="2"/>
    </row>
    <row r="141" spans="1:57">
      <c r="A141" s="2"/>
      <c r="B141" s="85"/>
      <c r="C141" s="85"/>
      <c r="D141" s="85"/>
      <c r="E141" s="85"/>
      <c r="F141" s="85"/>
      <c r="G141" s="85"/>
      <c r="H141" s="85"/>
      <c r="I141" s="85"/>
      <c r="J141" s="85"/>
      <c r="K141" s="85"/>
      <c r="L141" s="85"/>
      <c r="M141" s="85"/>
      <c r="N141" s="85"/>
      <c r="O141" s="85"/>
      <c r="P141" s="85"/>
      <c r="Q141" s="85"/>
      <c r="R141" s="85"/>
      <c r="S141" s="85"/>
      <c r="T141" s="85"/>
      <c r="U141" s="85"/>
      <c r="V141" s="85"/>
      <c r="W141" s="85"/>
      <c r="X141" s="85"/>
      <c r="Y141" s="85"/>
      <c r="Z141" s="85"/>
      <c r="AA141" s="85"/>
      <c r="AB141" s="85"/>
      <c r="AC141" s="85"/>
      <c r="AD141" s="85"/>
      <c r="AE141" s="111"/>
      <c r="AF141" s="111"/>
      <c r="AG141" s="111"/>
      <c r="AH141" s="111"/>
      <c r="AI141" s="111"/>
      <c r="AJ141" s="111"/>
      <c r="AK141" s="111"/>
      <c r="AL141" s="111"/>
      <c r="AM141" s="111"/>
      <c r="AN141" s="111"/>
      <c r="AO141" s="111"/>
      <c r="AP141" s="111"/>
      <c r="AQ141" s="111"/>
      <c r="AR141" s="111"/>
      <c r="AS141" s="111"/>
      <c r="AT141" s="111"/>
      <c r="AU141" s="111"/>
      <c r="AV141" s="111"/>
      <c r="AW141" s="111"/>
      <c r="AX141" s="111"/>
      <c r="AY141" s="111"/>
      <c r="AZ141" s="111"/>
      <c r="BA141" s="111"/>
      <c r="BB141" s="111"/>
      <c r="BC141" s="111"/>
      <c r="BD141" s="2"/>
      <c r="BE141" s="2"/>
    </row>
  </sheetData>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P49"/>
  <sheetViews>
    <sheetView showGridLines="0" zoomScale="70" zoomScaleNormal="70" workbookViewId="0">
      <pane xSplit="1" ySplit="1" topLeftCell="AU2" activePane="bottomRight" state="frozen"/>
      <selection activeCell="BA80" sqref="BA80"/>
      <selection pane="topRight" activeCell="BA80" sqref="BA80"/>
      <selection pane="bottomLeft" activeCell="BA80" sqref="BA80"/>
      <selection pane="bottomRight" activeCell="BC8" sqref="BC8"/>
    </sheetView>
  </sheetViews>
  <sheetFormatPr defaultColWidth="9.234375" defaultRowHeight="15.35"/>
  <cols>
    <col min="1" max="1" width="49.234375" style="6" bestFit="1" customWidth="1"/>
    <col min="2" max="2" width="10.52734375" style="6" bestFit="1" customWidth="1"/>
    <col min="3" max="4" width="11" style="6" bestFit="1" customWidth="1"/>
    <col min="5" max="8" width="11.52734375" style="6" bestFit="1" customWidth="1"/>
    <col min="9" max="9" width="10.52734375" style="6" bestFit="1" customWidth="1"/>
    <col min="10" max="11" width="11.76171875" style="6" bestFit="1" customWidth="1"/>
    <col min="12" max="12" width="11.52734375" style="6" bestFit="1" customWidth="1"/>
    <col min="13" max="13" width="11.76171875" style="6" bestFit="1" customWidth="1"/>
    <col min="14" max="14" width="11.52734375" style="6" bestFit="1" customWidth="1"/>
    <col min="15" max="15" width="11.76171875" style="6" bestFit="1" customWidth="1"/>
    <col min="16" max="16" width="12.76171875" style="6" bestFit="1" customWidth="1"/>
    <col min="17" max="17" width="12.41015625" style="6" bestFit="1" customWidth="1"/>
    <col min="18" max="18" width="13.234375" style="6" bestFit="1" customWidth="1"/>
    <col min="19" max="19" width="12.76171875" style="6" bestFit="1" customWidth="1"/>
    <col min="20" max="20" width="13.234375" style="6" bestFit="1" customWidth="1"/>
    <col min="21" max="21" width="12.76171875" style="6" bestFit="1" customWidth="1"/>
    <col min="22" max="22" width="13.234375" style="6" bestFit="1" customWidth="1"/>
    <col min="23" max="23" width="12.234375" style="6" bestFit="1" customWidth="1"/>
    <col min="24" max="25" width="13.234375" style="6" bestFit="1" customWidth="1"/>
    <col min="26" max="26" width="12.41015625" style="6" bestFit="1" customWidth="1"/>
    <col min="27" max="27" width="13.234375" style="6" bestFit="1" customWidth="1"/>
    <col min="28" max="28" width="13.76171875" style="6" bestFit="1" customWidth="1"/>
    <col min="29" max="30" width="13.234375" style="6" bestFit="1" customWidth="1"/>
    <col min="31" max="32" width="13.76171875" style="21" bestFit="1" customWidth="1"/>
    <col min="33" max="33" width="12.76171875" style="21" bestFit="1" customWidth="1"/>
    <col min="34" max="49" width="13.76171875" style="21" bestFit="1" customWidth="1"/>
    <col min="50" max="50" width="13.76171875" style="21" customWidth="1"/>
    <col min="51" max="55" width="13.76171875" style="21" bestFit="1" customWidth="1"/>
    <col min="56" max="56" width="3.76171875" style="6" customWidth="1"/>
    <col min="57" max="57" width="67.76171875" style="6" bestFit="1" customWidth="1"/>
    <col min="58" max="58" width="11" style="6" bestFit="1" customWidth="1"/>
    <col min="59" max="60" width="9.76171875" style="6" hidden="1" customWidth="1"/>
    <col min="61" max="61" width="10.234375" style="6" hidden="1" customWidth="1"/>
    <col min="62" max="62" width="9.76171875" style="6" hidden="1" customWidth="1"/>
    <col min="63" max="64" width="13" style="6" hidden="1" customWidth="1"/>
    <col min="65" max="65" width="9.76171875" style="6" bestFit="1" customWidth="1"/>
    <col min="66" max="66" width="9.76171875" style="6" customWidth="1"/>
    <col min="69" max="16384" width="9.234375" style="6"/>
  </cols>
  <sheetData>
    <row r="1" spans="1:66" s="519" customFormat="1">
      <c r="A1" s="508" t="s">
        <v>27</v>
      </c>
      <c r="B1" s="518" t="s">
        <v>0</v>
      </c>
      <c r="C1" s="518" t="s">
        <v>1</v>
      </c>
      <c r="D1" s="518" t="s">
        <v>2</v>
      </c>
      <c r="E1" s="516" t="str">
        <f>'Reported Group Profit and Loss'!E1</f>
        <v>4Q12</v>
      </c>
      <c r="F1" s="516" t="str">
        <f>'Reported Group Profit and Loss'!F1</f>
        <v>1Q13</v>
      </c>
      <c r="G1" s="516" t="str">
        <f>'Reported Group Profit and Loss'!G1</f>
        <v>2Q13</v>
      </c>
      <c r="H1" s="516" t="str">
        <f>'Reported Group Profit and Loss'!H1</f>
        <v>3Q13</v>
      </c>
      <c r="I1" s="516" t="str">
        <f>'Reported Group Profit and Loss'!I1</f>
        <v>4Q13</v>
      </c>
      <c r="J1" s="516" t="str">
        <f>'Reported Group Profit and Loss'!J1</f>
        <v>1Q14</v>
      </c>
      <c r="K1" s="516" t="str">
        <f>'Reported Group Profit and Loss'!K1</f>
        <v>2Q14</v>
      </c>
      <c r="L1" s="516" t="str">
        <f>'Reported Group Profit and Loss'!L1</f>
        <v>3Q14</v>
      </c>
      <c r="M1" s="516" t="str">
        <f>'Reported Group Profit and Loss'!M1</f>
        <v>4Q14</v>
      </c>
      <c r="N1" s="516" t="str">
        <f>'Reported Group Profit and Loss'!N1</f>
        <v>1Q15</v>
      </c>
      <c r="O1" s="516" t="str">
        <f>'Reported Group Profit and Loss'!O1</f>
        <v>2Q15</v>
      </c>
      <c r="P1" s="516" t="str">
        <f>'Reported Group Profit and Loss'!P1</f>
        <v>3Q15</v>
      </c>
      <c r="Q1" s="516" t="str">
        <f>'Reported Group Profit and Loss'!Q1</f>
        <v>4Q15</v>
      </c>
      <c r="R1" s="516" t="str">
        <f>'Reported Group Profit and Loss'!R1</f>
        <v>1Q16</v>
      </c>
      <c r="S1" s="516" t="str">
        <f>'Reported Group Profit and Loss'!S1</f>
        <v>2Q16</v>
      </c>
      <c r="T1" s="516" t="str">
        <f>'Reported Group Profit and Loss'!T1</f>
        <v>3Q16</v>
      </c>
      <c r="U1" s="516" t="str">
        <f>'Reported Group Profit and Loss'!U1</f>
        <v>4Q16</v>
      </c>
      <c r="V1" s="516" t="str">
        <f>'Reported Group Profit and Loss'!V1</f>
        <v>1Q17</v>
      </c>
      <c r="W1" s="516" t="str">
        <f>'Reported Group Profit and Loss'!W1</f>
        <v>2Q17</v>
      </c>
      <c r="X1" s="516" t="str">
        <f>'Reported Group Profit and Loss'!X1</f>
        <v>3Q17</v>
      </c>
      <c r="Y1" s="516" t="str">
        <f>'Reported Group Profit and Loss'!Y1</f>
        <v>4Q17</v>
      </c>
      <c r="Z1" s="516" t="str">
        <f>'Reported Group Profit and Loss'!Z1</f>
        <v>1Q18</v>
      </c>
      <c r="AA1" s="516" t="str">
        <f>'Reported Group Profit and Loss'!AA1</f>
        <v>2Q18</v>
      </c>
      <c r="AB1" s="516" t="str">
        <f>'Reported Group Profit and Loss'!AB1</f>
        <v>3Q18</v>
      </c>
      <c r="AC1" s="516" t="str">
        <f>'Reported Group Profit and Loss'!AC1</f>
        <v>4Q18</v>
      </c>
      <c r="AD1" s="516" t="str">
        <f>'Reported Group Profit and Loss'!AD1</f>
        <v>1Q19</v>
      </c>
      <c r="AE1" s="516" t="str">
        <f>'Reported Group Profit and Loss'!AE1</f>
        <v>2Q19</v>
      </c>
      <c r="AF1" s="516" t="str">
        <f>'Reported Group Profit and Loss'!AF1</f>
        <v>3Q19</v>
      </c>
      <c r="AG1" s="516" t="str">
        <f>'Reported Group Profit and Loss'!AG1</f>
        <v>4Q19</v>
      </c>
      <c r="AH1" s="516" t="str">
        <f>'Reported Group Profit and Loss'!AH1</f>
        <v>1Q20</v>
      </c>
      <c r="AI1" s="516" t="str">
        <f>'Reported Group Profit and Loss'!AI1</f>
        <v>2Q20</v>
      </c>
      <c r="AJ1" s="516" t="str">
        <f>'Reported Group Profit and Loss'!AJ1</f>
        <v>3Q20</v>
      </c>
      <c r="AK1" s="516" t="str">
        <f>'Reported Group Profit and Loss'!AK1</f>
        <v>4Q20</v>
      </c>
      <c r="AL1" s="516" t="str">
        <f>'Reported Group Profit and Loss'!AL1</f>
        <v>1Q21</v>
      </c>
      <c r="AM1" s="516" t="str">
        <f>'Reported Group Profit and Loss'!AM1</f>
        <v>2Q21</v>
      </c>
      <c r="AN1" s="516" t="str">
        <f>'Reported Group Profit and Loss'!AN1</f>
        <v>3Q21</v>
      </c>
      <c r="AO1" s="516" t="str">
        <f>'Reported Group Profit and Loss'!AO1</f>
        <v>4Q21</v>
      </c>
      <c r="AP1" s="516" t="str">
        <f>'Reported Group Profit and Loss'!AP1</f>
        <v>1Q22</v>
      </c>
      <c r="AQ1" s="516" t="str">
        <f>'Reported Group Profit and Loss'!AQ1</f>
        <v>2Q22</v>
      </c>
      <c r="AR1" s="516" t="str">
        <f>'Reported Group Profit and Loss'!AR1</f>
        <v>3Q22</v>
      </c>
      <c r="AS1" s="516" t="str">
        <f>'Reported Group Profit and Loss'!AS1</f>
        <v>4Q22</v>
      </c>
      <c r="AT1" s="516" t="str">
        <f>'Reported Group Profit and Loss'!AT1</f>
        <v>1Q23</v>
      </c>
      <c r="AU1" s="516" t="str">
        <f>'Reported Group Profit and Loss'!AU1</f>
        <v>2Q23</v>
      </c>
      <c r="AV1" s="516" t="str">
        <f>'Reported Group Profit and Loss'!AV1</f>
        <v>3Q23</v>
      </c>
      <c r="AW1" s="516" t="str">
        <f>'Reported Group Profit and Loss'!AW1</f>
        <v>4Q23</v>
      </c>
      <c r="AX1" s="516" t="str">
        <f>'Reported Group Profit and Loss'!AX1</f>
        <v>1Q24</v>
      </c>
      <c r="AY1" s="516" t="str">
        <f>'Reported Group Profit and Loss'!AY1</f>
        <v>2Q24</v>
      </c>
      <c r="AZ1" s="516" t="str">
        <f>'Reported Group Profit and Loss'!AZ1</f>
        <v>3Q24</v>
      </c>
      <c r="BA1" s="516" t="str">
        <f>'Reported Group Profit and Loss'!BA1</f>
        <v>4Q24</v>
      </c>
      <c r="BB1" s="516" t="str">
        <f>'Reported Group Profit and Loss'!BB1</f>
        <v>1Q25</v>
      </c>
      <c r="BC1" s="516" t="str">
        <f>'Reported Group Profit and Loss'!BC1</f>
        <v>2Q25</v>
      </c>
      <c r="BD1" s="508"/>
      <c r="BE1" s="508" t="s">
        <v>209</v>
      </c>
      <c r="BF1" s="508"/>
      <c r="BG1" s="509"/>
      <c r="BH1" s="509"/>
      <c r="BI1" s="509" t="s">
        <v>609</v>
      </c>
      <c r="BJ1" s="509"/>
      <c r="BK1" s="509"/>
      <c r="BL1" s="509" t="s">
        <v>614</v>
      </c>
      <c r="BM1" s="508"/>
      <c r="BN1" s="508"/>
    </row>
    <row r="2" spans="1:66" s="519" customFormat="1">
      <c r="A2" s="508" t="s">
        <v>53</v>
      </c>
      <c r="B2" s="518"/>
      <c r="C2" s="518"/>
      <c r="D2" s="518"/>
      <c r="E2" s="518"/>
      <c r="F2" s="518"/>
      <c r="G2" s="518"/>
      <c r="H2" s="518"/>
      <c r="I2" s="518"/>
      <c r="J2" s="518"/>
      <c r="K2" s="518"/>
      <c r="L2" s="518"/>
      <c r="M2" s="518"/>
      <c r="N2" s="518"/>
      <c r="O2" s="518"/>
      <c r="P2" s="518"/>
      <c r="Q2" s="518"/>
      <c r="R2" s="518"/>
      <c r="S2" s="518"/>
      <c r="T2" s="518"/>
      <c r="U2" s="518"/>
      <c r="V2" s="518"/>
      <c r="W2" s="518"/>
      <c r="X2" s="518"/>
      <c r="Y2" s="518"/>
      <c r="Z2" s="518"/>
      <c r="AA2" s="518"/>
      <c r="AB2" s="518"/>
      <c r="AC2" s="518"/>
      <c r="AD2" s="518"/>
      <c r="AE2" s="516"/>
      <c r="AF2" s="516"/>
      <c r="AG2" s="516"/>
      <c r="AH2" s="516"/>
      <c r="AI2" s="516"/>
      <c r="AJ2" s="516"/>
      <c r="AK2" s="516"/>
      <c r="AL2" s="516"/>
      <c r="AM2" s="516"/>
      <c r="AN2" s="516"/>
      <c r="AO2" s="516"/>
      <c r="AP2" s="516"/>
      <c r="AQ2" s="516"/>
      <c r="AR2" s="516"/>
      <c r="AS2" s="516"/>
      <c r="AT2" s="516"/>
      <c r="AU2" s="516"/>
      <c r="AV2" s="516"/>
      <c r="AW2" s="516"/>
      <c r="AX2" s="516"/>
      <c r="AY2" s="516"/>
      <c r="AZ2" s="516"/>
      <c r="BA2" s="516"/>
      <c r="BB2" s="516"/>
      <c r="BC2" s="516"/>
      <c r="BD2" s="508"/>
      <c r="BE2" s="508"/>
      <c r="BF2" s="508"/>
      <c r="BG2" s="509" t="s">
        <v>607</v>
      </c>
      <c r="BH2" s="509" t="s">
        <v>610</v>
      </c>
      <c r="BI2" s="509" t="s">
        <v>611</v>
      </c>
      <c r="BJ2" s="509"/>
      <c r="BK2" s="509"/>
      <c r="BL2" s="509" t="s">
        <v>611</v>
      </c>
      <c r="BM2" s="508"/>
      <c r="BN2" s="508"/>
    </row>
    <row r="3" spans="1:66">
      <c r="A3" s="2"/>
      <c r="B3" s="321"/>
      <c r="C3" s="321"/>
      <c r="D3" s="321"/>
      <c r="E3" s="321"/>
      <c r="F3" s="321"/>
      <c r="G3" s="321"/>
      <c r="H3" s="321"/>
      <c r="I3" s="321"/>
      <c r="J3" s="321"/>
      <c r="K3" s="321"/>
      <c r="L3" s="321"/>
      <c r="M3" s="321"/>
      <c r="N3" s="321"/>
      <c r="O3" s="321"/>
      <c r="P3" s="321"/>
      <c r="Q3" s="321"/>
      <c r="R3" s="321"/>
      <c r="S3" s="321"/>
      <c r="T3" s="321"/>
      <c r="U3" s="321"/>
      <c r="V3" s="389">
        <f>'Domestic Mobile Operations'!V28*'Domestic Mobile Financials'!V4</f>
        <v>43848.503320946533</v>
      </c>
      <c r="W3" s="389">
        <f>'Domestic Mobile Operations'!W28*'Domestic Mobile Financials'!W4</f>
        <v>44113.310499519968</v>
      </c>
      <c r="X3" s="389">
        <f>'Domestic Mobile Operations'!X28*'Domestic Mobile Financials'!X4</f>
        <v>39204.492714979002</v>
      </c>
      <c r="Y3" s="389">
        <f>'Domestic Mobile Operations'!Y28*'Domestic Mobile Financials'!Y4</f>
        <v>35617.548459163583</v>
      </c>
      <c r="Z3" s="389">
        <f>'Domestic Mobile Operations'!Z28*'Domestic Mobile Financials'!Z4</f>
        <v>36006.45190760104</v>
      </c>
      <c r="AA3" s="321"/>
      <c r="AB3" s="321"/>
      <c r="AC3" s="321"/>
      <c r="AD3" s="321"/>
      <c r="AE3" s="322"/>
      <c r="AF3" s="322"/>
      <c r="AG3" s="322"/>
      <c r="AH3" s="322"/>
      <c r="AI3" s="322"/>
      <c r="AJ3" s="322"/>
      <c r="AK3" s="322"/>
      <c r="AL3" s="322"/>
      <c r="AM3" s="322"/>
      <c r="AN3" s="322"/>
      <c r="AO3" s="322"/>
      <c r="AP3" s="322"/>
      <c r="AQ3" s="322"/>
      <c r="AR3" s="452" t="s">
        <v>788</v>
      </c>
      <c r="AS3" s="322"/>
      <c r="AT3" s="322"/>
      <c r="AU3" s="322"/>
      <c r="AV3" s="452"/>
      <c r="AW3" s="452"/>
      <c r="AX3" s="452"/>
      <c r="AY3" s="322"/>
      <c r="AZ3" s="322"/>
      <c r="BA3" s="322"/>
      <c r="BB3" s="322"/>
      <c r="BC3" s="322"/>
      <c r="BD3" s="2"/>
      <c r="BE3" s="2"/>
      <c r="BF3" s="2"/>
      <c r="BG3" s="85"/>
      <c r="BH3" s="85"/>
      <c r="BI3" s="85"/>
      <c r="BJ3" s="85"/>
      <c r="BK3" s="85"/>
      <c r="BL3" s="85"/>
      <c r="BM3" s="2"/>
      <c r="BN3" s="2"/>
    </row>
    <row r="4" spans="1:66">
      <c r="A4" s="2" t="s">
        <v>340</v>
      </c>
      <c r="B4" s="338">
        <v>98404</v>
      </c>
      <c r="C4" s="338">
        <v>97827</v>
      </c>
      <c r="D4" s="338">
        <v>101764</v>
      </c>
      <c r="E4" s="338">
        <v>105096</v>
      </c>
      <c r="F4" s="338">
        <v>104635</v>
      </c>
      <c r="G4" s="338">
        <v>108906</v>
      </c>
      <c r="H4" s="338">
        <v>106994</v>
      </c>
      <c r="I4" s="338">
        <v>110173</v>
      </c>
      <c r="J4" s="338">
        <v>116013.32554799999</v>
      </c>
      <c r="K4" s="338">
        <v>113540.81433600001</v>
      </c>
      <c r="L4" s="338">
        <v>116445.63747899997</v>
      </c>
      <c r="M4" s="338">
        <v>120835.80590200005</v>
      </c>
      <c r="N4" s="338">
        <v>127524.974263</v>
      </c>
      <c r="O4" s="338">
        <v>126341.71484499999</v>
      </c>
      <c r="P4" s="338">
        <v>131634.53295000002</v>
      </c>
      <c r="Q4" s="338">
        <v>134134.76076799998</v>
      </c>
      <c r="R4" s="338">
        <v>137986.81078200002</v>
      </c>
      <c r="S4" s="338">
        <v>136555.88247999997</v>
      </c>
      <c r="T4" s="338">
        <v>139750.41863999999</v>
      </c>
      <c r="U4" s="338">
        <v>146525.16194700002</v>
      </c>
      <c r="V4" s="338">
        <v>150525.824448</v>
      </c>
      <c r="W4" s="338">
        <v>147243.01272699996</v>
      </c>
      <c r="X4" s="338">
        <v>138129.62470500005</v>
      </c>
      <c r="Y4" s="337">
        <v>129718.05126499999</v>
      </c>
      <c r="Z4" s="337">
        <v>129147</v>
      </c>
      <c r="AA4" s="337">
        <v>122450</v>
      </c>
      <c r="AB4" s="337">
        <f>107510.397343</f>
        <v>107510.397343</v>
      </c>
      <c r="AC4" s="337">
        <v>103532.13564700008</v>
      </c>
      <c r="AD4" s="337">
        <v>104803.372189</v>
      </c>
      <c r="AE4" s="337">
        <v>102521.19872900001</v>
      </c>
      <c r="AF4" s="337">
        <v>101893.78246699997</v>
      </c>
      <c r="AG4" s="337">
        <v>106322.38429300005</v>
      </c>
      <c r="AH4" s="337">
        <v>108667.339108</v>
      </c>
      <c r="AI4" s="337">
        <v>109814</v>
      </c>
      <c r="AJ4" s="337">
        <v>111652.89238099997</v>
      </c>
      <c r="AK4" s="337">
        <v>129528.76147499999</v>
      </c>
      <c r="AL4" s="337">
        <v>128771.034046</v>
      </c>
      <c r="AM4" s="337">
        <v>138319.26007099997</v>
      </c>
      <c r="AN4" s="337">
        <v>147789.157779</v>
      </c>
      <c r="AO4" s="337">
        <v>140796.52852500009</v>
      </c>
      <c r="AP4" s="337">
        <v>143055.61118499999</v>
      </c>
      <c r="AQ4" s="337">
        <v>151914</v>
      </c>
      <c r="AR4" s="337">
        <v>160173.31711710998</v>
      </c>
      <c r="AS4" s="337">
        <v>175262.06535446507</v>
      </c>
      <c r="AT4" s="337">
        <v>181404.25125552001</v>
      </c>
      <c r="AU4" s="337">
        <v>188822.59666189004</v>
      </c>
      <c r="AV4" s="337">
        <v>193526.52150788001</v>
      </c>
      <c r="AW4" s="337">
        <v>195492.58361471014</v>
      </c>
      <c r="AX4" s="337">
        <v>203924.44172899998</v>
      </c>
      <c r="AY4" s="337">
        <v>209520.93762199997</v>
      </c>
      <c r="AZ4" s="337">
        <v>216385.55117799997</v>
      </c>
      <c r="BA4" s="337">
        <v>220656.78353400007</v>
      </c>
      <c r="BB4" s="337">
        <v>225274.4</v>
      </c>
      <c r="BC4" s="337">
        <v>248371</v>
      </c>
      <c r="BD4" s="15"/>
      <c r="BE4" s="17" t="s">
        <v>806</v>
      </c>
      <c r="BF4" s="17"/>
      <c r="BG4" s="239"/>
      <c r="BH4" s="239"/>
      <c r="BI4" s="85"/>
      <c r="BJ4" s="85"/>
      <c r="BK4" s="189"/>
      <c r="BL4" s="189"/>
      <c r="BM4" s="2"/>
      <c r="BN4" s="2"/>
    </row>
    <row r="5" spans="1:66">
      <c r="A5" s="3" t="s">
        <v>772</v>
      </c>
      <c r="B5" s="338"/>
      <c r="C5" s="338"/>
      <c r="D5" s="338"/>
      <c r="E5" s="338"/>
      <c r="F5" s="338"/>
      <c r="G5" s="338"/>
      <c r="H5" s="338"/>
      <c r="I5" s="338"/>
      <c r="J5" s="338"/>
      <c r="K5" s="338"/>
      <c r="L5" s="338"/>
      <c r="M5" s="338"/>
      <c r="N5" s="338"/>
      <c r="O5" s="338"/>
      <c r="P5" s="338"/>
      <c r="Q5" s="338"/>
      <c r="R5" s="338"/>
      <c r="S5" s="338"/>
      <c r="T5" s="338"/>
      <c r="U5" s="338"/>
      <c r="V5" s="338"/>
      <c r="W5" s="338"/>
      <c r="X5" s="338"/>
      <c r="Y5" s="337"/>
      <c r="Z5" s="337"/>
      <c r="AA5" s="337"/>
      <c r="AB5" s="337"/>
      <c r="AC5" s="337"/>
      <c r="AD5" s="337"/>
      <c r="AE5" s="337"/>
      <c r="AF5" s="337"/>
      <c r="AG5" s="336"/>
      <c r="AH5" s="336"/>
      <c r="AI5" s="336"/>
      <c r="AJ5" s="337"/>
      <c r="AK5" s="337"/>
      <c r="AL5" s="337">
        <v>117379.88962886714</v>
      </c>
      <c r="AM5" s="337">
        <v>126237.54323492525</v>
      </c>
      <c r="AN5" s="337">
        <v>135096.43949541691</v>
      </c>
      <c r="AO5" s="330">
        <f>AO4</f>
        <v>140796.52852500009</v>
      </c>
      <c r="AP5" s="330">
        <f t="shared" ref="AP5:AQ5" si="0">AP4</f>
        <v>143055.61118499999</v>
      </c>
      <c r="AQ5" s="330">
        <f t="shared" si="0"/>
        <v>151914</v>
      </c>
      <c r="AR5" s="330">
        <v>160173.31711710998</v>
      </c>
      <c r="AS5" s="330">
        <v>175262.06535446507</v>
      </c>
      <c r="AT5" s="330">
        <v>181404.25125552001</v>
      </c>
      <c r="AU5" s="330">
        <v>188822.59666189004</v>
      </c>
      <c r="AV5" s="330">
        <f t="shared" ref="AV5:AW5" si="1">AV4</f>
        <v>193526.52150788001</v>
      </c>
      <c r="AW5" s="330">
        <f t="shared" si="1"/>
        <v>195492.58361471014</v>
      </c>
      <c r="AX5" s="330">
        <v>203924.44172899998</v>
      </c>
      <c r="AY5" s="330">
        <v>209520.93762199997</v>
      </c>
      <c r="AZ5" s="330">
        <v>216385.55117799997</v>
      </c>
      <c r="BA5" s="330">
        <v>220656.78353400007</v>
      </c>
      <c r="BB5" s="330">
        <v>225274.4</v>
      </c>
      <c r="BC5" s="330">
        <v>248371</v>
      </c>
      <c r="BD5" s="15"/>
      <c r="BE5" s="17"/>
      <c r="BF5" s="17"/>
      <c r="BG5" s="239"/>
      <c r="BH5" s="239"/>
      <c r="BI5" s="85"/>
      <c r="BJ5" s="85"/>
      <c r="BK5" s="189"/>
      <c r="BL5" s="189"/>
      <c r="BM5" s="2"/>
      <c r="BN5" s="2"/>
    </row>
    <row r="6" spans="1:66">
      <c r="A6" s="2" t="s">
        <v>37</v>
      </c>
      <c r="B6" s="338">
        <v>33614</v>
      </c>
      <c r="C6" s="338">
        <v>32926</v>
      </c>
      <c r="D6" s="338">
        <v>34431</v>
      </c>
      <c r="E6" s="338">
        <v>35719</v>
      </c>
      <c r="F6" s="338">
        <v>31266</v>
      </c>
      <c r="G6" s="338">
        <v>33396</v>
      </c>
      <c r="H6" s="338">
        <v>31219</v>
      </c>
      <c r="I6" s="338">
        <v>33696</v>
      </c>
      <c r="J6" s="338">
        <v>37632.555138999982</v>
      </c>
      <c r="K6" s="338">
        <v>38035.831232000033</v>
      </c>
      <c r="L6" s="338">
        <v>39748.313629999982</v>
      </c>
      <c r="M6" s="338">
        <v>42147.009856000041</v>
      </c>
      <c r="N6" s="338">
        <v>47061.118996000005</v>
      </c>
      <c r="O6" s="338">
        <v>46457.803604606306</v>
      </c>
      <c r="P6" s="338">
        <v>49128.23866286331</v>
      </c>
      <c r="Q6" s="338">
        <v>51743.624178028374</v>
      </c>
      <c r="R6" s="338">
        <v>53489.131404000007</v>
      </c>
      <c r="S6" s="338">
        <v>52678.834924999981</v>
      </c>
      <c r="T6" s="338">
        <v>54362.28644799997</v>
      </c>
      <c r="U6" s="338">
        <v>58615.961632000079</v>
      </c>
      <c r="V6" s="338">
        <v>63875.482172999997</v>
      </c>
      <c r="W6" s="338">
        <v>62775.282877888967</v>
      </c>
      <c r="X6" s="338">
        <v>52986.338956959953</v>
      </c>
      <c r="Y6" s="338">
        <v>47873.154957489052</v>
      </c>
      <c r="Z6" s="338">
        <v>44281</v>
      </c>
      <c r="AA6" s="338">
        <v>42087</v>
      </c>
      <c r="AB6" s="338">
        <v>35090.921213339956</v>
      </c>
      <c r="AC6" s="337">
        <v>29428.119611289003</v>
      </c>
      <c r="AD6" s="337">
        <v>27602.564374000009</v>
      </c>
      <c r="AE6" s="337">
        <v>21467.989977999998</v>
      </c>
      <c r="AF6" s="337">
        <v>19497.551374145027</v>
      </c>
      <c r="AG6" s="337">
        <v>25657.156111999997</v>
      </c>
      <c r="AH6" s="337">
        <v>38741.974539450006</v>
      </c>
      <c r="AI6" s="338">
        <v>39913</v>
      </c>
      <c r="AJ6" s="338">
        <v>40109.023235999979</v>
      </c>
      <c r="AK6" s="338">
        <v>50795.573455490055</v>
      </c>
      <c r="AL6" s="338">
        <v>52227.34835800001</v>
      </c>
      <c r="AM6" s="338">
        <v>58919.083494999948</v>
      </c>
      <c r="AN6" s="338">
        <v>64598.766257000018</v>
      </c>
      <c r="AO6" s="338">
        <v>66896.953566000127</v>
      </c>
      <c r="AP6" s="338">
        <v>70335.220085719993</v>
      </c>
      <c r="AQ6" s="338">
        <v>74679</v>
      </c>
      <c r="AR6" s="338">
        <v>78962.476355852035</v>
      </c>
      <c r="AS6" s="338">
        <v>88599.264398901811</v>
      </c>
      <c r="AT6" s="338">
        <v>92666.831511270284</v>
      </c>
      <c r="AU6" s="338">
        <v>98736.162186745802</v>
      </c>
      <c r="AV6" s="338">
        <v>104121.31686903587</v>
      </c>
      <c r="AW6" s="338">
        <v>105226.97681459524</v>
      </c>
      <c r="AX6" s="338">
        <v>111664.93428699998</v>
      </c>
      <c r="AY6" s="338">
        <v>115039.43971699997</v>
      </c>
      <c r="AZ6" s="338">
        <v>119239.74851200011</v>
      </c>
      <c r="BA6" s="338">
        <v>121607.10500399992</v>
      </c>
      <c r="BB6" s="338">
        <v>125274</v>
      </c>
      <c r="BC6" s="338">
        <v>141710</v>
      </c>
      <c r="BD6" s="15"/>
      <c r="BE6" s="17"/>
      <c r="BF6" s="17"/>
      <c r="BG6" s="189">
        <f>'Revenue, EBITDA, capex breakout'!BH16</f>
        <v>8025.6236214254795</v>
      </c>
      <c r="BH6" s="189">
        <f>'Revenue, EBITDA, capex breakout'!BH16</f>
        <v>8025.6236214254795</v>
      </c>
      <c r="BI6" s="189">
        <f>'Revenue, EBITDA, capex breakout'!BH16</f>
        <v>8025.6236214254795</v>
      </c>
      <c r="BJ6" s="85"/>
      <c r="BK6" s="189"/>
      <c r="BL6" s="118">
        <v>42552</v>
      </c>
      <c r="BM6" s="2"/>
      <c r="BN6" s="2"/>
    </row>
    <row r="7" spans="1:66" s="12" customFormat="1">
      <c r="A7" s="2" t="s">
        <v>342</v>
      </c>
      <c r="B7" s="331"/>
      <c r="C7" s="331"/>
      <c r="D7" s="331"/>
      <c r="E7" s="331"/>
      <c r="F7" s="331"/>
      <c r="G7" s="331"/>
      <c r="H7" s="331"/>
      <c r="I7" s="331"/>
      <c r="J7" s="331">
        <v>0.32438131534665543</v>
      </c>
      <c r="K7" s="331">
        <v>0.33499699164954938</v>
      </c>
      <c r="L7" s="331">
        <v>0.3413465243570698</v>
      </c>
      <c r="M7" s="331">
        <v>0.34879570290764644</v>
      </c>
      <c r="N7" s="331">
        <v>0.36903453043592799</v>
      </c>
      <c r="O7" s="331">
        <v>0.3677154743514619</v>
      </c>
      <c r="P7" s="331">
        <v>0.37321694818125078</v>
      </c>
      <c r="Q7" s="331">
        <v>0.3857585004943227</v>
      </c>
      <c r="R7" s="331">
        <v>0.38763944974788495</v>
      </c>
      <c r="S7" s="331">
        <v>0.38576759908322034</v>
      </c>
      <c r="T7" s="331">
        <v>0.38899551770244323</v>
      </c>
      <c r="U7" s="331">
        <v>0.40004024464550469</v>
      </c>
      <c r="V7" s="331">
        <v>0.4243489939831962</v>
      </c>
      <c r="W7" s="331">
        <v>0.42633794103547201</v>
      </c>
      <c r="X7" s="331">
        <v>0.38359866010004395</v>
      </c>
      <c r="Y7" s="331">
        <v>0.3690554590562678</v>
      </c>
      <c r="Z7" s="331">
        <f>Z6/Z4</f>
        <v>0.34287285031785486</v>
      </c>
      <c r="AA7" s="331">
        <f>AA6/AA4</f>
        <v>0.34370763576970192</v>
      </c>
      <c r="AB7" s="331">
        <v>0.32639560526770517</v>
      </c>
      <c r="AC7" s="332">
        <v>0.28424140415325921</v>
      </c>
      <c r="AD7" s="332">
        <v>0.26337477313441954</v>
      </c>
      <c r="AE7" s="332">
        <v>0.20940049710838371</v>
      </c>
      <c r="AF7" s="332">
        <v>0.19135172826133567</v>
      </c>
      <c r="AG7" s="332">
        <v>0.24131471733454332</v>
      </c>
      <c r="AH7" s="332">
        <v>0.35651903191395851</v>
      </c>
      <c r="AI7" s="331">
        <v>0.36299999999999999</v>
      </c>
      <c r="AJ7" s="331">
        <v>0.35922959433181106</v>
      </c>
      <c r="AK7" s="331">
        <v>0.3921567138993603</v>
      </c>
      <c r="AL7" s="331">
        <v>0.40558304703325743</v>
      </c>
      <c r="AM7" s="331">
        <v>0.42596442075208102</v>
      </c>
      <c r="AN7" s="331">
        <v>0.43710084845059677</v>
      </c>
      <c r="AO7" s="331">
        <v>0.47513212340403538</v>
      </c>
      <c r="AP7" s="331">
        <v>0.4916634831943939</v>
      </c>
      <c r="AQ7" s="331">
        <v>0.49199999999999999</v>
      </c>
      <c r="AR7" s="331">
        <v>0.49298146393583758</v>
      </c>
      <c r="AS7" s="331">
        <v>0.50552447969679604</v>
      </c>
      <c r="AT7" s="331">
        <v>0.51083053936119094</v>
      </c>
      <c r="AU7" s="331">
        <v>0.52290437655374999</v>
      </c>
      <c r="AV7" s="331">
        <v>0.53802091856849865</v>
      </c>
      <c r="AW7" s="331">
        <v>0.53826582507080478</v>
      </c>
      <c r="AX7" s="331">
        <v>0.54757994353317463</v>
      </c>
      <c r="AY7" s="331">
        <v>0.54905939722618291</v>
      </c>
      <c r="AZ7" s="331">
        <v>0.55105226695063769</v>
      </c>
      <c r="BA7" s="331">
        <v>0.55111428280772523</v>
      </c>
      <c r="BB7" s="331">
        <v>0.55609514441054997</v>
      </c>
      <c r="BC7" s="331">
        <v>0.57055775432719602</v>
      </c>
      <c r="BD7" s="39"/>
      <c r="BE7" s="39"/>
      <c r="BF7" s="39"/>
      <c r="BG7" s="118">
        <f>AH6-BG6</f>
        <v>30716.350918024527</v>
      </c>
      <c r="BH7" s="118">
        <f>AI6-BH6</f>
        <v>31887.376378574521</v>
      </c>
      <c r="BI7" s="118">
        <f>BL6-BI6</f>
        <v>34526.376378574518</v>
      </c>
      <c r="BJ7" s="114"/>
      <c r="BK7" s="117"/>
      <c r="BL7" s="117"/>
      <c r="BM7" s="4"/>
      <c r="BN7" s="4"/>
    </row>
    <row r="8" spans="1:66">
      <c r="A8" s="2" t="s">
        <v>38</v>
      </c>
      <c r="B8" s="338"/>
      <c r="C8" s="338"/>
      <c r="D8" s="338"/>
      <c r="E8" s="338"/>
      <c r="F8" s="338">
        <v>17464</v>
      </c>
      <c r="G8" s="338">
        <v>16793</v>
      </c>
      <c r="H8" s="338">
        <v>15219</v>
      </c>
      <c r="I8" s="338">
        <v>17313</v>
      </c>
      <c r="J8" s="338">
        <v>20978.999953686191</v>
      </c>
      <c r="K8" s="338">
        <v>21416.906991071348</v>
      </c>
      <c r="L8" s="338">
        <v>23101.754636242458</v>
      </c>
      <c r="M8" s="338">
        <v>25393.325508000064</v>
      </c>
      <c r="N8" s="338">
        <v>29502.318842000015</v>
      </c>
      <c r="O8" s="338">
        <v>28983.145062561976</v>
      </c>
      <c r="P8" s="338">
        <v>31613.517468000086</v>
      </c>
      <c r="Q8" s="338">
        <v>33954.17056795286</v>
      </c>
      <c r="R8" s="338">
        <v>33744.02541200001</v>
      </c>
      <c r="S8" s="338">
        <v>30725.855904999968</v>
      </c>
      <c r="T8" s="338">
        <v>30987.025274999971</v>
      </c>
      <c r="U8" s="338">
        <v>32433.326867000083</v>
      </c>
      <c r="V8" s="338">
        <v>34436.329887</v>
      </c>
      <c r="W8" s="338">
        <v>33397.65716888896</v>
      </c>
      <c r="X8" s="338">
        <v>23022.516568959967</v>
      </c>
      <c r="Y8" s="338">
        <v>14391.755197489052</v>
      </c>
      <c r="Z8" s="338">
        <v>12603</v>
      </c>
      <c r="AA8" s="338">
        <v>11378</v>
      </c>
      <c r="AB8" s="338">
        <v>1668.4377053399803</v>
      </c>
      <c r="AC8" s="337">
        <v>-4820.1000347110239</v>
      </c>
      <c r="AD8" s="337">
        <v>-8781.9787389999983</v>
      </c>
      <c r="AE8" s="337">
        <v>-15918.611814000004</v>
      </c>
      <c r="AF8" s="337">
        <v>-19032.277529854968</v>
      </c>
      <c r="AG8" s="337">
        <v>-13777.666123000017</v>
      </c>
      <c r="AH8" s="337">
        <v>-12419.207285549994</v>
      </c>
      <c r="AI8" s="338">
        <v>-11449</v>
      </c>
      <c r="AJ8" s="338">
        <v>-8249.438771000001</v>
      </c>
      <c r="AK8" s="338">
        <v>264.58380149002187</v>
      </c>
      <c r="AL8" s="338">
        <v>1649.9342620000098</v>
      </c>
      <c r="AM8" s="338">
        <v>6799.1769909999421</v>
      </c>
      <c r="AN8" s="338">
        <v>11034.460793000035</v>
      </c>
      <c r="AO8" s="338">
        <v>13506.572788000107</v>
      </c>
      <c r="AP8" s="338">
        <v>15700.455416719989</v>
      </c>
      <c r="AQ8" s="338">
        <v>16111</v>
      </c>
      <c r="AR8" s="338">
        <v>18760.81165164374</v>
      </c>
      <c r="AS8" s="338">
        <v>28355.025564581087</v>
      </c>
      <c r="AT8" s="338">
        <v>30940.694135842801</v>
      </c>
      <c r="AU8" s="338">
        <v>36386.326120502701</v>
      </c>
      <c r="AV8" s="338">
        <v>40310.599146957662</v>
      </c>
      <c r="AW8" s="338">
        <v>40812.566408343984</v>
      </c>
      <c r="AX8" s="338">
        <v>45190.092625999983</v>
      </c>
      <c r="AY8" s="338">
        <v>46777.167343999972</v>
      </c>
      <c r="AZ8" s="338">
        <v>47945.011234000092</v>
      </c>
      <c r="BA8" s="338">
        <v>48287.15095599991</v>
      </c>
      <c r="BB8" s="338">
        <v>48372</v>
      </c>
      <c r="BC8" s="338">
        <v>61891</v>
      </c>
      <c r="BD8" s="15"/>
      <c r="BE8" s="247"/>
      <c r="BF8" s="15"/>
      <c r="BG8" s="114">
        <f>BG7/AD6-1</f>
        <v>0.11280787182793506</v>
      </c>
      <c r="BH8" s="114">
        <f>BH7/AE6-1</f>
        <v>0.48534522380773049</v>
      </c>
      <c r="BI8" s="114">
        <f>BI7/AF6-1</f>
        <v>0.77080576509513166</v>
      </c>
      <c r="BJ8" s="85"/>
      <c r="BK8" s="189"/>
      <c r="BL8" s="189"/>
      <c r="BM8" s="2"/>
      <c r="BN8" s="2"/>
    </row>
    <row r="9" spans="1:66">
      <c r="A9" s="2" t="s">
        <v>39</v>
      </c>
      <c r="B9" s="338">
        <v>13452</v>
      </c>
      <c r="C9" s="338">
        <v>12011</v>
      </c>
      <c r="D9" s="338">
        <v>1838</v>
      </c>
      <c r="E9" s="338">
        <v>4655</v>
      </c>
      <c r="F9" s="338">
        <v>18200</v>
      </c>
      <c r="G9" s="338">
        <v>16793</v>
      </c>
      <c r="H9" s="338">
        <v>8067</v>
      </c>
      <c r="I9" s="338">
        <v>13128</v>
      </c>
      <c r="J9" s="338">
        <v>7906.8707840000025</v>
      </c>
      <c r="K9" s="338">
        <v>7228.3556769999886</v>
      </c>
      <c r="L9" s="338">
        <v>13529.487403000017</v>
      </c>
      <c r="M9" s="338">
        <v>12900.824902999997</v>
      </c>
      <c r="N9" s="338">
        <v>22879.105469000002</v>
      </c>
      <c r="O9" s="338">
        <v>14889.713784999993</v>
      </c>
      <c r="P9" s="338">
        <v>20737.504657000012</v>
      </c>
      <c r="Q9" s="338">
        <v>34598.43318</v>
      </c>
      <c r="R9" s="338">
        <v>22165.531824999998</v>
      </c>
      <c r="S9" s="338">
        <v>31014.853255000002</v>
      </c>
      <c r="T9" s="338">
        <v>32800.420386000005</v>
      </c>
      <c r="U9" s="338">
        <v>33793.638099999975</v>
      </c>
      <c r="V9" s="338">
        <v>31940.951209000021</v>
      </c>
      <c r="W9" s="338">
        <v>37055.607195894976</v>
      </c>
      <c r="X9" s="337">
        <v>44091.432341489992</v>
      </c>
      <c r="Y9" s="337">
        <v>20542.802611305</v>
      </c>
      <c r="Z9" s="337">
        <v>50729</v>
      </c>
      <c r="AA9" s="337">
        <v>61053</v>
      </c>
      <c r="AB9" s="337">
        <v>49356.647657974019</v>
      </c>
      <c r="AC9" s="337">
        <v>33554.285472450152</v>
      </c>
      <c r="AD9" s="337">
        <v>69349.749057212</v>
      </c>
      <c r="AE9" s="337">
        <v>58862.628328683481</v>
      </c>
      <c r="AF9" s="337">
        <v>37273.757429697442</v>
      </c>
      <c r="AG9" s="337">
        <v>34631.766670853947</v>
      </c>
      <c r="AH9" s="337">
        <v>36426.14725234059</v>
      </c>
      <c r="AI9" s="337">
        <v>19639</v>
      </c>
      <c r="AJ9" s="337">
        <v>25414.761618341508</v>
      </c>
      <c r="AK9" s="337">
        <v>69968.40667095744</v>
      </c>
      <c r="AL9" s="337">
        <v>25584.627460142372</v>
      </c>
      <c r="AM9" s="337">
        <v>41736.28195331536</v>
      </c>
      <c r="AN9" s="337">
        <v>42049.372850048363</v>
      </c>
      <c r="AO9" s="337">
        <v>37392.685751981611</v>
      </c>
      <c r="AP9" s="337">
        <v>43744.246684934405</v>
      </c>
      <c r="AQ9" s="337">
        <v>46293</v>
      </c>
      <c r="AR9" s="337">
        <v>29037.67337424578</v>
      </c>
      <c r="AS9" s="337">
        <v>25557.680616848622</v>
      </c>
      <c r="AT9" s="337">
        <v>36085.710373217546</v>
      </c>
      <c r="AU9" s="337">
        <v>38452.289661312308</v>
      </c>
      <c r="AV9" s="337">
        <v>63793.401411513245</v>
      </c>
      <c r="AW9" s="337">
        <v>66470.989126067885</v>
      </c>
      <c r="AX9" s="337">
        <v>78289.521208909544</v>
      </c>
      <c r="AY9" s="337">
        <v>56856.13662305475</v>
      </c>
      <c r="AZ9" s="337">
        <v>57479.019008993986</v>
      </c>
      <c r="BA9" s="337">
        <v>60102.239916877508</v>
      </c>
      <c r="BB9" s="337">
        <v>48480.646700913472</v>
      </c>
      <c r="BC9" s="337">
        <v>39881.223553814874</v>
      </c>
      <c r="BD9" s="15"/>
      <c r="BE9" s="15"/>
      <c r="BF9" s="15"/>
      <c r="BG9" s="189"/>
      <c r="BH9" s="189"/>
      <c r="BI9" s="85"/>
      <c r="BJ9" s="85"/>
      <c r="BK9" s="189"/>
      <c r="BL9" s="189"/>
      <c r="BM9" s="2"/>
      <c r="BN9" s="2"/>
    </row>
    <row r="10" spans="1:66">
      <c r="A10" s="2" t="s">
        <v>345</v>
      </c>
      <c r="B10" s="338"/>
      <c r="C10" s="338"/>
      <c r="D10" s="338"/>
      <c r="E10" s="338"/>
      <c r="F10" s="338"/>
      <c r="G10" s="338"/>
      <c r="H10" s="338"/>
      <c r="I10" s="338"/>
      <c r="J10" s="338">
        <v>29725.684354999979</v>
      </c>
      <c r="K10" s="338">
        <v>30807.475555000045</v>
      </c>
      <c r="L10" s="338">
        <v>26218.826226999965</v>
      </c>
      <c r="M10" s="338">
        <v>29246.184953000044</v>
      </c>
      <c r="N10" s="338">
        <v>24182.013527000003</v>
      </c>
      <c r="O10" s="338">
        <v>31568.089819606314</v>
      </c>
      <c r="P10" s="338">
        <v>28390.734005863298</v>
      </c>
      <c r="Q10" s="338">
        <v>17145.190998028374</v>
      </c>
      <c r="R10" s="338">
        <v>31323.599579000009</v>
      </c>
      <c r="S10" s="338">
        <v>21663.981669999979</v>
      </c>
      <c r="T10" s="338">
        <v>21561.866061999965</v>
      </c>
      <c r="U10" s="338">
        <v>24822.323532000104</v>
      </c>
      <c r="V10" s="338">
        <v>31934.530963999976</v>
      </c>
      <c r="W10" s="338">
        <v>25719.675681993991</v>
      </c>
      <c r="X10" s="337">
        <v>8894.9066154699613</v>
      </c>
      <c r="Y10" s="337">
        <v>27330.352346184052</v>
      </c>
      <c r="Z10" s="337">
        <v>-6448</v>
      </c>
      <c r="AA10" s="337">
        <v>-18966</v>
      </c>
      <c r="AB10" s="337">
        <v>-14265.726444634063</v>
      </c>
      <c r="AC10" s="337">
        <v>-4126.1658611611492</v>
      </c>
      <c r="AD10" s="337">
        <v>-41747.184683211992</v>
      </c>
      <c r="AE10" s="337">
        <v>-37394.638350683483</v>
      </c>
      <c r="AF10" s="337">
        <v>-17776.206055552415</v>
      </c>
      <c r="AG10" s="337">
        <v>-8974.6105588539504</v>
      </c>
      <c r="AH10" s="337">
        <v>2315.8272871094159</v>
      </c>
      <c r="AI10" s="337">
        <v>20274</v>
      </c>
      <c r="AJ10" s="337">
        <v>14694.261617658471</v>
      </c>
      <c r="AK10" s="337">
        <v>-19172.833215467384</v>
      </c>
      <c r="AL10" s="337">
        <v>26642.720897857638</v>
      </c>
      <c r="AM10" s="337">
        <v>17182.801541684588</v>
      </c>
      <c r="AN10" s="337">
        <v>22549.393406951654</v>
      </c>
      <c r="AO10" s="337">
        <v>29504.267814018516</v>
      </c>
      <c r="AP10" s="337">
        <v>26590.973400785588</v>
      </c>
      <c r="AQ10" s="337">
        <v>28386</v>
      </c>
      <c r="AR10" s="337">
        <v>49924.802981606255</v>
      </c>
      <c r="AS10" s="337">
        <v>63041.583782053189</v>
      </c>
      <c r="AT10" s="337">
        <v>56581.121138052738</v>
      </c>
      <c r="AU10" s="337">
        <v>60283.872525433493</v>
      </c>
      <c r="AV10" s="337">
        <v>40327.915457522628</v>
      </c>
      <c r="AW10" s="337">
        <v>38755.987688527355</v>
      </c>
      <c r="AX10" s="337">
        <v>33375.413078090438</v>
      </c>
      <c r="AY10" s="337">
        <v>58183.303093945222</v>
      </c>
      <c r="AZ10" s="337">
        <v>61760.729503006121</v>
      </c>
      <c r="BA10" s="337">
        <v>61504.865087122416</v>
      </c>
      <c r="BB10" s="337">
        <v>76793.353299086535</v>
      </c>
      <c r="BC10" s="337">
        <v>101828.77644618513</v>
      </c>
      <c r="BD10" s="15"/>
      <c r="BE10" s="15"/>
      <c r="BF10" s="15"/>
      <c r="BG10" s="189"/>
      <c r="BH10" s="189"/>
      <c r="BI10" s="85"/>
      <c r="BJ10" s="85"/>
      <c r="BK10" s="189"/>
      <c r="BL10" s="189"/>
      <c r="BM10" s="2"/>
      <c r="BN10" s="2"/>
    </row>
    <row r="11" spans="1:66">
      <c r="A11" s="2" t="s">
        <v>346</v>
      </c>
      <c r="B11" s="338"/>
      <c r="C11" s="338"/>
      <c r="D11" s="338"/>
      <c r="E11" s="338"/>
      <c r="F11" s="338"/>
      <c r="G11" s="338"/>
      <c r="H11" s="338"/>
      <c r="I11" s="338"/>
      <c r="J11" s="338">
        <v>788507.15003884328</v>
      </c>
      <c r="K11" s="338">
        <v>796425.10963084328</v>
      </c>
      <c r="L11" s="338">
        <v>809910.09579384315</v>
      </c>
      <c r="M11" s="338">
        <v>878872.43368053134</v>
      </c>
      <c r="N11" s="338">
        <v>906159.36532232817</v>
      </c>
      <c r="O11" s="338">
        <v>983232.35640728264</v>
      </c>
      <c r="P11" s="338">
        <v>1071543.7995175475</v>
      </c>
      <c r="Q11" s="338">
        <v>1153194.8443111624</v>
      </c>
      <c r="R11" s="338">
        <v>1290246.2268789252</v>
      </c>
      <c r="S11" s="338">
        <v>1318752.1367364391</v>
      </c>
      <c r="T11" s="338">
        <v>1444428.7339837111</v>
      </c>
      <c r="U11" s="338">
        <v>1497154.850790001</v>
      </c>
      <c r="V11" s="338">
        <v>1595443.9187286091</v>
      </c>
      <c r="W11" s="338">
        <v>1651116.7742788712</v>
      </c>
      <c r="X11" s="337">
        <v>1845896.2828896479</v>
      </c>
      <c r="Y11" s="337">
        <v>1864560.3949811915</v>
      </c>
      <c r="Z11" s="337">
        <v>1905161</v>
      </c>
      <c r="AA11" s="337">
        <v>1983494</v>
      </c>
      <c r="AB11" s="337">
        <v>2027872.18015425</v>
      </c>
      <c r="AC11" s="337">
        <v>2051569.6893217503</v>
      </c>
      <c r="AD11" s="337">
        <v>2170373.3731832551</v>
      </c>
      <c r="AE11" s="337">
        <v>2226885.0038864501</v>
      </c>
      <c r="AF11" s="337">
        <v>2266463.2846440002</v>
      </c>
      <c r="AG11" s="337">
        <v>2319107.0561009999</v>
      </c>
      <c r="AH11" s="337">
        <v>2334818.4486910002</v>
      </c>
      <c r="AI11" s="337">
        <v>2392024</v>
      </c>
      <c r="AJ11" s="337">
        <v>2350313.3390429998</v>
      </c>
      <c r="AK11" s="337">
        <v>2370219.279356</v>
      </c>
      <c r="AL11" s="337">
        <v>2392874.7365259998</v>
      </c>
      <c r="AM11" s="337">
        <v>2433321.5260649994</v>
      </c>
      <c r="AN11" s="337">
        <v>2472796.296257</v>
      </c>
      <c r="AO11" s="337">
        <v>2569539.7203629999</v>
      </c>
      <c r="AP11" s="337">
        <v>2707875.3292389996</v>
      </c>
      <c r="AQ11" s="337">
        <v>2760475</v>
      </c>
      <c r="AR11" s="337">
        <v>2748944.8188151577</v>
      </c>
      <c r="AS11" s="337">
        <v>2748347.8667271798</v>
      </c>
      <c r="AT11" s="337">
        <v>2781062.3570274115</v>
      </c>
      <c r="AU11" s="337">
        <v>3251227.4428232322</v>
      </c>
      <c r="AV11" s="337">
        <v>3315857.7724362318</v>
      </c>
      <c r="AW11" s="337">
        <v>3359361.2637930005</v>
      </c>
      <c r="AX11" s="337">
        <v>3402059.8620820004</v>
      </c>
      <c r="AY11" s="337">
        <v>3440834.3471670002</v>
      </c>
      <c r="AZ11" s="337">
        <v>3481445.151108</v>
      </c>
      <c r="BA11" s="337">
        <v>3519054.4016859997</v>
      </c>
      <c r="BB11" s="337">
        <v>3546874.5564206303</v>
      </c>
      <c r="BC11" s="337">
        <v>3638632.6163409995</v>
      </c>
      <c r="BD11" s="15"/>
      <c r="BE11" s="15"/>
      <c r="BF11" s="15"/>
      <c r="BG11" s="189"/>
      <c r="BH11" s="189"/>
      <c r="BI11" s="85"/>
      <c r="BJ11" s="85"/>
      <c r="BK11" s="189"/>
      <c r="BL11" s="189"/>
      <c r="BM11" s="2"/>
      <c r="BN11" s="2"/>
    </row>
    <row r="12" spans="1:66">
      <c r="A12" s="2"/>
      <c r="B12" s="321"/>
      <c r="C12" s="321"/>
      <c r="D12" s="321"/>
      <c r="E12" s="321"/>
      <c r="F12" s="321"/>
      <c r="G12" s="321"/>
      <c r="H12" s="321"/>
      <c r="I12" s="321"/>
      <c r="J12" s="321"/>
      <c r="K12" s="321"/>
      <c r="L12" s="321"/>
      <c r="M12" s="321"/>
      <c r="N12" s="321"/>
      <c r="O12" s="321"/>
      <c r="P12" s="321"/>
      <c r="Q12" s="321"/>
      <c r="R12" s="321"/>
      <c r="S12" s="321"/>
      <c r="T12" s="321"/>
      <c r="U12" s="321"/>
      <c r="V12" s="321"/>
      <c r="W12" s="321"/>
      <c r="X12" s="321"/>
      <c r="Y12" s="321"/>
      <c r="Z12" s="321"/>
      <c r="AA12" s="321"/>
      <c r="AB12" s="321"/>
      <c r="AC12" s="321"/>
      <c r="AD12" s="321"/>
      <c r="AE12" s="321"/>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569"/>
      <c r="BB12" s="569"/>
      <c r="BC12" s="569"/>
      <c r="BD12" s="2"/>
      <c r="BE12" s="2"/>
      <c r="BF12" s="2"/>
      <c r="BG12" s="85"/>
      <c r="BH12" s="85"/>
      <c r="BI12" s="85"/>
      <c r="BJ12" s="85"/>
      <c r="BK12" s="85"/>
      <c r="BL12" s="85"/>
      <c r="BM12" s="2"/>
      <c r="BN12" s="2"/>
    </row>
    <row r="13" spans="1:66" s="532" customFormat="1">
      <c r="A13" s="510" t="s">
        <v>55</v>
      </c>
      <c r="B13" s="530" t="str">
        <f>'Revenue, EBITDA, capex breakout'!B$1</f>
        <v>Q1 12</v>
      </c>
      <c r="C13" s="530" t="str">
        <f>'Revenue, EBITDA, capex breakout'!C$1</f>
        <v>Q2 12</v>
      </c>
      <c r="D13" s="530" t="str">
        <f>'Revenue, EBITDA, capex breakout'!D$1</f>
        <v>Q3 12</v>
      </c>
      <c r="E13" s="530" t="str">
        <f>'Revenue, EBITDA, capex breakout'!E$1</f>
        <v>4Q12</v>
      </c>
      <c r="F13" s="530" t="str">
        <f>'Revenue, EBITDA, capex breakout'!F$1</f>
        <v>1Q13</v>
      </c>
      <c r="G13" s="530" t="str">
        <f>'Revenue, EBITDA, capex breakout'!G$1</f>
        <v>2Q13</v>
      </c>
      <c r="H13" s="530" t="str">
        <f>'Revenue, EBITDA, capex breakout'!H$1</f>
        <v>3Q13</v>
      </c>
      <c r="I13" s="530" t="str">
        <f>'Revenue, EBITDA, capex breakout'!I$1</f>
        <v>4Q13</v>
      </c>
      <c r="J13" s="530" t="str">
        <f>'Revenue, EBITDA, capex breakout'!J$1</f>
        <v>1Q14</v>
      </c>
      <c r="K13" s="530" t="str">
        <f>'Revenue, EBITDA, capex breakout'!K$1</f>
        <v>2Q14</v>
      </c>
      <c r="L13" s="530" t="str">
        <f>'Revenue, EBITDA, capex breakout'!L$1</f>
        <v>3Q14</v>
      </c>
      <c r="M13" s="530" t="str">
        <f>'Revenue, EBITDA, capex breakout'!M$1</f>
        <v>4Q14</v>
      </c>
      <c r="N13" s="530" t="str">
        <f>'Revenue, EBITDA, capex breakout'!N$1</f>
        <v>1Q15</v>
      </c>
      <c r="O13" s="530" t="str">
        <f>'Revenue, EBITDA, capex breakout'!O$1</f>
        <v>2Q15</v>
      </c>
      <c r="P13" s="530" t="str">
        <f>'Revenue, EBITDA, capex breakout'!P$1</f>
        <v>3Q15</v>
      </c>
      <c r="Q13" s="530" t="str">
        <f>'Revenue, EBITDA, capex breakout'!Q$1</f>
        <v>4Q15</v>
      </c>
      <c r="R13" s="530" t="str">
        <f>'Revenue, EBITDA, capex breakout'!R$1</f>
        <v>1Q16</v>
      </c>
      <c r="S13" s="530" t="str">
        <f>'Revenue, EBITDA, capex breakout'!S$1</f>
        <v>2Q16</v>
      </c>
      <c r="T13" s="530" t="str">
        <f>'Revenue, EBITDA, capex breakout'!T$1</f>
        <v>3Q16</v>
      </c>
      <c r="U13" s="530" t="str">
        <f>'Revenue, EBITDA, capex breakout'!U$1</f>
        <v>4Q16</v>
      </c>
      <c r="V13" s="530" t="str">
        <f>'Revenue, EBITDA, capex breakout'!V$1</f>
        <v>1Q17</v>
      </c>
      <c r="W13" s="530" t="str">
        <f>'Revenue, EBITDA, capex breakout'!W$1</f>
        <v>2Q17</v>
      </c>
      <c r="X13" s="530" t="str">
        <f>'Revenue, EBITDA, capex breakout'!X$1</f>
        <v>3Q17</v>
      </c>
      <c r="Y13" s="530" t="str">
        <f>'Revenue, EBITDA, capex breakout'!Y$1</f>
        <v>4Q17</v>
      </c>
      <c r="Z13" s="530" t="str">
        <f>'Revenue, EBITDA, capex breakout'!Z$1</f>
        <v>1Q18</v>
      </c>
      <c r="AA13" s="530" t="str">
        <f>'Revenue, EBITDA, capex breakout'!AA$1</f>
        <v>2Q18</v>
      </c>
      <c r="AB13" s="530" t="str">
        <f>'Revenue, EBITDA, capex breakout'!AB$1</f>
        <v>3Q18</v>
      </c>
      <c r="AC13" s="530" t="str">
        <f>'Revenue, EBITDA, capex breakout'!AC$1</f>
        <v>4Q18</v>
      </c>
      <c r="AD13" s="530" t="str">
        <f>'Revenue, EBITDA, capex breakout'!AD$1</f>
        <v>1Q19</v>
      </c>
      <c r="AE13" s="530" t="str">
        <f>'Revenue, EBITDA, capex breakout'!AE$1</f>
        <v>2Q19</v>
      </c>
      <c r="AF13" s="530" t="str">
        <f>'Revenue, EBITDA, capex breakout'!AF$1</f>
        <v>3Q19</v>
      </c>
      <c r="AG13" s="530" t="str">
        <f>'Revenue, EBITDA, capex breakout'!AG$1</f>
        <v>4Q19</v>
      </c>
      <c r="AH13" s="530" t="str">
        <f>'Revenue, EBITDA, capex breakout'!AH$1</f>
        <v>1Q20</v>
      </c>
      <c r="AI13" s="530" t="str">
        <f>'Revenue, EBITDA, capex breakout'!AI$1</f>
        <v>2Q20</v>
      </c>
      <c r="AJ13" s="530" t="str">
        <f>'Revenue, EBITDA, capex breakout'!AJ$1</f>
        <v>3Q20</v>
      </c>
      <c r="AK13" s="530" t="str">
        <f>'Revenue, EBITDA, capex breakout'!AK$1</f>
        <v>4Q20</v>
      </c>
      <c r="AL13" s="530" t="str">
        <f>'Revenue, EBITDA, capex breakout'!AL$1</f>
        <v>1Q21</v>
      </c>
      <c r="AM13" s="530" t="str">
        <f>'Revenue, EBITDA, capex breakout'!AM$1</f>
        <v>2Q21</v>
      </c>
      <c r="AN13" s="530" t="str">
        <f>'Revenue, EBITDA, capex breakout'!AN$1</f>
        <v>3Q21</v>
      </c>
      <c r="AO13" s="530" t="str">
        <f>'Revenue, EBITDA, capex breakout'!AO$1</f>
        <v>4Q21</v>
      </c>
      <c r="AP13" s="530" t="str">
        <f>'Revenue, EBITDA, capex breakout'!AP$1</f>
        <v>1Q22</v>
      </c>
      <c r="AQ13" s="530" t="str">
        <f>'Revenue, EBITDA, capex breakout'!AQ$1</f>
        <v>2Q22</v>
      </c>
      <c r="AR13" s="530" t="str">
        <f>'Revenue, EBITDA, capex breakout'!AR$1</f>
        <v>3Q22</v>
      </c>
      <c r="AS13" s="530" t="str">
        <f>'Revenue, EBITDA, capex breakout'!AS$1</f>
        <v>4Q22</v>
      </c>
      <c r="AT13" s="530" t="str">
        <f>'Revenue, EBITDA, capex breakout'!AT$1</f>
        <v>1Q23</v>
      </c>
      <c r="AU13" s="530" t="str">
        <f>'Revenue, EBITDA, capex breakout'!AU$1</f>
        <v>2Q23</v>
      </c>
      <c r="AV13" s="530" t="str">
        <f>'Revenue, EBITDA, capex breakout'!AV$1</f>
        <v>3Q23</v>
      </c>
      <c r="AW13" s="530" t="str">
        <f>'Revenue, EBITDA, capex breakout'!AW$1</f>
        <v>4Q23</v>
      </c>
      <c r="AX13" s="530" t="str">
        <f>'Revenue, EBITDA, capex breakout'!AX$1</f>
        <v>1Q24</v>
      </c>
      <c r="AY13" s="530" t="str">
        <f>'Revenue, EBITDA, capex breakout'!AY$1</f>
        <v>2Q24</v>
      </c>
      <c r="AZ13" s="530" t="str">
        <f>'Revenue, EBITDA, capex breakout'!AZ$1</f>
        <v>3Q24</v>
      </c>
      <c r="BA13" s="530" t="str">
        <f>'Revenue, EBITDA, capex breakout'!BA$1</f>
        <v>4Q24</v>
      </c>
      <c r="BB13" s="530" t="str">
        <f>'Revenue, EBITDA, capex breakout'!BB$1</f>
        <v>1Q25</v>
      </c>
      <c r="BC13" s="530" t="str">
        <f>'Revenue, EBITDA, capex breakout'!BC$1</f>
        <v>2Q25</v>
      </c>
      <c r="BD13" s="527"/>
      <c r="BE13" s="527"/>
      <c r="BF13" s="527"/>
      <c r="BG13" s="522"/>
      <c r="BH13" s="522"/>
      <c r="BI13" s="511"/>
      <c r="BJ13" s="511"/>
      <c r="BK13" s="522"/>
      <c r="BL13" s="522"/>
      <c r="BM13" s="510"/>
      <c r="BN13" s="510"/>
    </row>
    <row r="14" spans="1:66">
      <c r="A14" s="2"/>
      <c r="B14" s="321"/>
      <c r="C14" s="321"/>
      <c r="D14" s="321"/>
      <c r="E14" s="321"/>
      <c r="F14" s="321"/>
      <c r="G14" s="321"/>
      <c r="H14" s="321"/>
      <c r="I14" s="321"/>
      <c r="J14" s="321"/>
      <c r="K14" s="321"/>
      <c r="L14" s="321"/>
      <c r="M14" s="321"/>
      <c r="N14" s="321"/>
      <c r="O14" s="321"/>
      <c r="P14" s="321"/>
      <c r="Q14" s="321"/>
      <c r="R14" s="321"/>
      <c r="S14" s="321"/>
      <c r="T14" s="321"/>
      <c r="U14" s="321"/>
      <c r="V14" s="321"/>
      <c r="W14" s="321"/>
      <c r="X14" s="321"/>
      <c r="Y14" s="321"/>
      <c r="Z14" s="321"/>
      <c r="AA14" s="321"/>
      <c r="AB14" s="321"/>
      <c r="AC14" s="321"/>
      <c r="AD14" s="321"/>
      <c r="AE14" s="321"/>
      <c r="AF14" s="322"/>
      <c r="AG14" s="322"/>
      <c r="AH14" s="322"/>
      <c r="AI14" s="322"/>
      <c r="AJ14" s="322"/>
      <c r="AK14" s="322"/>
      <c r="AL14" s="322"/>
      <c r="AM14" s="322"/>
      <c r="AN14" s="322"/>
      <c r="AO14" s="322"/>
      <c r="AP14" s="322"/>
      <c r="AQ14" s="322"/>
      <c r="AR14" s="322"/>
      <c r="AS14" s="322"/>
      <c r="AT14" s="322"/>
      <c r="AU14" s="322"/>
      <c r="AV14" s="322"/>
      <c r="AW14" s="322"/>
      <c r="AX14" s="322"/>
      <c r="AY14" s="322"/>
      <c r="AZ14" s="322"/>
      <c r="BA14" s="322"/>
      <c r="BB14" s="322"/>
      <c r="BC14" s="322"/>
      <c r="BD14" s="322"/>
      <c r="BE14" s="2"/>
      <c r="BF14" s="2"/>
      <c r="BG14" s="85"/>
      <c r="BH14" s="85"/>
      <c r="BI14" s="85"/>
      <c r="BJ14" s="85"/>
      <c r="BK14" s="85"/>
      <c r="BL14" s="85"/>
      <c r="BM14" s="2"/>
      <c r="BN14" s="2"/>
    </row>
    <row r="15" spans="1:66">
      <c r="A15" s="2" t="s">
        <v>57</v>
      </c>
      <c r="B15" s="353"/>
      <c r="C15" s="353"/>
      <c r="D15" s="353"/>
      <c r="E15" s="353"/>
      <c r="F15" s="353">
        <f t="shared" ref="F15:AC15" si="2">F4/B4-1</f>
        <v>6.3320596723710487E-2</v>
      </c>
      <c r="G15" s="353">
        <f t="shared" si="2"/>
        <v>0.11325094299119876</v>
      </c>
      <c r="H15" s="353">
        <f t="shared" si="2"/>
        <v>5.1393420069965723E-2</v>
      </c>
      <c r="I15" s="353">
        <f t="shared" si="2"/>
        <v>4.8308213442947334E-2</v>
      </c>
      <c r="J15" s="353">
        <f t="shared" si="2"/>
        <v>0.10874301665790598</v>
      </c>
      <c r="K15" s="353">
        <f t="shared" si="2"/>
        <v>4.2557933777753298E-2</v>
      </c>
      <c r="L15" s="353">
        <f t="shared" si="2"/>
        <v>8.8338014084901717E-2</v>
      </c>
      <c r="M15" s="353">
        <f t="shared" si="2"/>
        <v>9.6782386809835863E-2</v>
      </c>
      <c r="N15" s="353">
        <f t="shared" si="2"/>
        <v>9.9226952254179768E-2</v>
      </c>
      <c r="O15" s="353">
        <f t="shared" si="2"/>
        <v>0.11274272237574778</v>
      </c>
      <c r="P15" s="353">
        <f t="shared" si="2"/>
        <v>0.1304376514211556</v>
      </c>
      <c r="Q15" s="353">
        <f t="shared" si="2"/>
        <v>0.11005806405417284</v>
      </c>
      <c r="R15" s="353">
        <f t="shared" si="2"/>
        <v>8.2037550522646274E-2</v>
      </c>
      <c r="S15" s="353">
        <f t="shared" si="2"/>
        <v>8.0845567495510418E-2</v>
      </c>
      <c r="T15" s="353">
        <f t="shared" si="2"/>
        <v>6.1654685196343539E-2</v>
      </c>
      <c r="U15" s="353">
        <f t="shared" si="2"/>
        <v>9.2372783222318677E-2</v>
      </c>
      <c r="V15" s="353">
        <f t="shared" si="2"/>
        <v>9.0871102788293801E-2</v>
      </c>
      <c r="W15" s="353">
        <f t="shared" si="2"/>
        <v>7.8261954394862832E-2</v>
      </c>
      <c r="X15" s="354">
        <f t="shared" si="2"/>
        <v>-1.1597775167852209E-2</v>
      </c>
      <c r="Y15" s="354">
        <f t="shared" si="2"/>
        <v>-0.11470460403298766</v>
      </c>
      <c r="Z15" s="354">
        <f t="shared" si="2"/>
        <v>-0.14202761902417238</v>
      </c>
      <c r="AA15" s="354">
        <f t="shared" si="2"/>
        <v>-0.16838159086684912</v>
      </c>
      <c r="AB15" s="354">
        <f t="shared" si="2"/>
        <v>-0.22167024219020903</v>
      </c>
      <c r="AC15" s="354">
        <f t="shared" si="2"/>
        <v>-0.20186793867651398</v>
      </c>
      <c r="AD15" s="354">
        <f t="shared" ref="AD15:AN15" si="3">AD4/Z4-1</f>
        <v>-0.18849549591550707</v>
      </c>
      <c r="AE15" s="354">
        <f t="shared" si="3"/>
        <v>-0.16275052079216001</v>
      </c>
      <c r="AF15" s="327">
        <f t="shared" si="3"/>
        <v>-5.2242527372314052E-2</v>
      </c>
      <c r="AG15" s="327">
        <f t="shared" si="3"/>
        <v>2.6950556255436631E-2</v>
      </c>
      <c r="AH15" s="327">
        <f t="shared" si="3"/>
        <v>3.6868727010346714E-2</v>
      </c>
      <c r="AI15" s="327">
        <f t="shared" si="3"/>
        <v>7.1134568863923109E-2</v>
      </c>
      <c r="AJ15" s="327">
        <f t="shared" si="3"/>
        <v>9.5777285696118541E-2</v>
      </c>
      <c r="AK15" s="327">
        <f t="shared" si="3"/>
        <v>0.21826426614031247</v>
      </c>
      <c r="AL15" s="327">
        <f t="shared" si="3"/>
        <v>0.18500218283636971</v>
      </c>
      <c r="AM15" s="327">
        <f t="shared" si="3"/>
        <v>0.25957765012657741</v>
      </c>
      <c r="AN15" s="327">
        <f t="shared" si="3"/>
        <v>0.32364826944822944</v>
      </c>
      <c r="AO15" s="327">
        <f t="shared" ref="AO15:AS15" si="4">AO4/AK4-1</f>
        <v>8.6990463906928106E-2</v>
      </c>
      <c r="AP15" s="327">
        <f t="shared" si="4"/>
        <v>0.11093004917470184</v>
      </c>
      <c r="AQ15" s="327">
        <f t="shared" si="4"/>
        <v>9.8285227393652752E-2</v>
      </c>
      <c r="AR15" s="327">
        <f t="shared" si="4"/>
        <v>8.3796129054534152E-2</v>
      </c>
      <c r="AS15" s="327">
        <f t="shared" si="4"/>
        <v>0.2447896776328915</v>
      </c>
      <c r="AT15" s="327">
        <f>AT4/AP4-1</f>
        <v>0.26806805935719247</v>
      </c>
      <c r="AU15" s="327">
        <f>AU4/AQ4-1</f>
        <v>0.2429571774944379</v>
      </c>
      <c r="AV15" s="453">
        <f>AV4/AR32-1</f>
        <v>0.20823196391933352</v>
      </c>
      <c r="AW15" s="453">
        <f>AW4/AS32-1</f>
        <v>0.11543010302502776</v>
      </c>
      <c r="AX15" s="453">
        <f>AX4/AT32-1</f>
        <v>0.12414367534175796</v>
      </c>
      <c r="AY15" s="327">
        <f>AY4/AU4-1</f>
        <v>0.10961792352200739</v>
      </c>
      <c r="AZ15" s="327">
        <f>AZ4/AV4-1</f>
        <v>0.11811833071773159</v>
      </c>
      <c r="BA15" s="327">
        <f>BA4/AW4-1</f>
        <v>0.12872201826789098</v>
      </c>
      <c r="BB15" s="327">
        <f>BB4/AX4-1</f>
        <v>0.10469543567206374</v>
      </c>
      <c r="BC15" s="327">
        <f>BC4/AY4-1</f>
        <v>0.1854232938193987</v>
      </c>
      <c r="BD15" s="4"/>
      <c r="BE15" s="246"/>
      <c r="BF15" s="4"/>
      <c r="BG15" s="114"/>
      <c r="BH15" s="114"/>
      <c r="BI15" s="85"/>
      <c r="BJ15" s="85"/>
      <c r="BK15" s="85"/>
      <c r="BL15" s="114">
        <f>115362/AF4-1</f>
        <v>0.13217899274042488</v>
      </c>
      <c r="BM15" s="2"/>
      <c r="BN15" s="2"/>
    </row>
    <row r="16" spans="1:66">
      <c r="A16" s="2" t="s">
        <v>58</v>
      </c>
      <c r="B16" s="353"/>
      <c r="C16" s="353">
        <f t="shared" ref="C16:AC16" si="5">C4/B4-1</f>
        <v>-5.8635827811877039E-3</v>
      </c>
      <c r="D16" s="353">
        <f t="shared" si="5"/>
        <v>4.0244513273431703E-2</v>
      </c>
      <c r="E16" s="353">
        <f t="shared" si="5"/>
        <v>3.274242364686919E-2</v>
      </c>
      <c r="F16" s="353">
        <f t="shared" si="5"/>
        <v>-4.3864657075435298E-3</v>
      </c>
      <c r="G16" s="353">
        <f t="shared" si="5"/>
        <v>4.0818081903760683E-2</v>
      </c>
      <c r="H16" s="353">
        <f t="shared" si="5"/>
        <v>-1.7556424806714044E-2</v>
      </c>
      <c r="I16" s="353">
        <f t="shared" si="5"/>
        <v>2.9711946464287653E-2</v>
      </c>
      <c r="J16" s="353">
        <f t="shared" si="5"/>
        <v>5.3010497562923753E-2</v>
      </c>
      <c r="K16" s="353">
        <f t="shared" si="5"/>
        <v>-2.1312303567894819E-2</v>
      </c>
      <c r="L16" s="353">
        <f t="shared" si="5"/>
        <v>2.5583955514038692E-2</v>
      </c>
      <c r="M16" s="353">
        <f t="shared" si="5"/>
        <v>3.7701441789022017E-2</v>
      </c>
      <c r="N16" s="353">
        <f t="shared" si="5"/>
        <v>5.5357501951242671E-2</v>
      </c>
      <c r="O16" s="353">
        <f t="shared" si="5"/>
        <v>-9.2786485536529018E-3</v>
      </c>
      <c r="P16" s="353">
        <f t="shared" si="5"/>
        <v>4.1892878464515171E-2</v>
      </c>
      <c r="Q16" s="353">
        <f t="shared" si="5"/>
        <v>1.8993707517081626E-2</v>
      </c>
      <c r="R16" s="353">
        <f t="shared" si="5"/>
        <v>2.8717761092984295E-2</v>
      </c>
      <c r="S16" s="353">
        <f t="shared" si="5"/>
        <v>-1.0370036773012403E-2</v>
      </c>
      <c r="T16" s="353">
        <f t="shared" si="5"/>
        <v>2.3393618070374211E-2</v>
      </c>
      <c r="U16" s="354">
        <f t="shared" si="5"/>
        <v>4.8477445527028484E-2</v>
      </c>
      <c r="V16" s="354">
        <f t="shared" si="5"/>
        <v>2.7303586959672277E-2</v>
      </c>
      <c r="W16" s="354">
        <f t="shared" si="5"/>
        <v>-2.1808960243457132E-2</v>
      </c>
      <c r="X16" s="354">
        <f t="shared" si="5"/>
        <v>-6.1893517751479665E-2</v>
      </c>
      <c r="Y16" s="354">
        <f t="shared" si="5"/>
        <v>-6.0896230319632427E-2</v>
      </c>
      <c r="Z16" s="354">
        <f t="shared" si="5"/>
        <v>-4.4022497981671682E-3</v>
      </c>
      <c r="AA16" s="354">
        <f t="shared" si="5"/>
        <v>-5.1855637374464747E-2</v>
      </c>
      <c r="AB16" s="354">
        <f t="shared" si="5"/>
        <v>-0.12200573831768069</v>
      </c>
      <c r="AC16" s="354">
        <f t="shared" si="5"/>
        <v>-3.7003506584649015E-2</v>
      </c>
      <c r="AD16" s="354">
        <f t="shared" ref="AD16:AO16" si="6">AD4/AC4-1</f>
        <v>1.2278666271642313E-2</v>
      </c>
      <c r="AE16" s="354">
        <f t="shared" si="6"/>
        <v>-2.1775763626044164E-2</v>
      </c>
      <c r="AF16" s="327">
        <f t="shared" si="6"/>
        <v>-6.1198685713627077E-3</v>
      </c>
      <c r="AG16" s="327">
        <f t="shared" si="6"/>
        <v>4.3462925006580777E-2</v>
      </c>
      <c r="AH16" s="327">
        <f t="shared" si="6"/>
        <v>2.2055137594899854E-2</v>
      </c>
      <c r="AI16" s="327">
        <f t="shared" si="6"/>
        <v>1.0552028801040114E-2</v>
      </c>
      <c r="AJ16" s="327">
        <f t="shared" si="6"/>
        <v>1.674551861329121E-2</v>
      </c>
      <c r="AK16" s="327">
        <f t="shared" si="6"/>
        <v>0.16010215868838484</v>
      </c>
      <c r="AL16" s="327">
        <f t="shared" si="6"/>
        <v>-5.8498778215079206E-3</v>
      </c>
      <c r="AM16" s="327">
        <f t="shared" si="6"/>
        <v>7.4148865043586643E-2</v>
      </c>
      <c r="AN16" s="327">
        <f t="shared" si="6"/>
        <v>6.846405701663727E-2</v>
      </c>
      <c r="AO16" s="327">
        <f t="shared" si="6"/>
        <v>-4.7314900220600142E-2</v>
      </c>
      <c r="AP16" s="327">
        <f t="shared" ref="AP16:AU16" si="7">AP4/AO4-1</f>
        <v>1.6045016760471986E-2</v>
      </c>
      <c r="AQ16" s="327">
        <f t="shared" si="7"/>
        <v>6.1922693850465782E-2</v>
      </c>
      <c r="AR16" s="327">
        <f t="shared" si="7"/>
        <v>5.4368373666087377E-2</v>
      </c>
      <c r="AS16" s="327">
        <f t="shared" si="7"/>
        <v>9.4202633178427808E-2</v>
      </c>
      <c r="AT16" s="327">
        <f t="shared" si="7"/>
        <v>3.5045723606146328E-2</v>
      </c>
      <c r="AU16" s="327">
        <f t="shared" si="7"/>
        <v>4.0893999754839205E-2</v>
      </c>
      <c r="AV16" s="453">
        <f>AV4/AU32-1</f>
        <v>2.4911874580418658E-2</v>
      </c>
      <c r="AW16" s="453">
        <f>AW4/AV32-1</f>
        <v>1.0159135251909479E-2</v>
      </c>
      <c r="AX16" s="453">
        <f>AX4/AW32-1</f>
        <v>4.3131345232553242E-2</v>
      </c>
      <c r="AY16" s="327">
        <f t="shared" ref="AY16:BC16" si="8">AY4/AX4-1</f>
        <v>2.7443968195030255E-2</v>
      </c>
      <c r="AZ16" s="327">
        <f t="shared" si="8"/>
        <v>3.276337741665003E-2</v>
      </c>
      <c r="BA16" s="327">
        <f t="shared" si="8"/>
        <v>1.9738990578380022E-2</v>
      </c>
      <c r="BB16" s="327">
        <f t="shared" si="8"/>
        <v>2.0926691634152395E-2</v>
      </c>
      <c r="BC16" s="327">
        <f t="shared" si="8"/>
        <v>0.10252651876999797</v>
      </c>
      <c r="BD16" s="4"/>
      <c r="BE16" s="246"/>
      <c r="BF16" s="4"/>
      <c r="BG16" s="114"/>
      <c r="BH16" s="114"/>
      <c r="BI16" s="85"/>
      <c r="BJ16" s="85"/>
      <c r="BK16" s="114"/>
      <c r="BL16" s="114">
        <f>115362/AI4-1</f>
        <v>5.0521791392718507E-2</v>
      </c>
      <c r="BM16" s="2"/>
      <c r="BN16" s="2"/>
    </row>
    <row r="17" spans="1:66">
      <c r="A17" s="2"/>
      <c r="B17" s="353"/>
      <c r="C17" s="353"/>
      <c r="D17" s="353"/>
      <c r="E17" s="353"/>
      <c r="F17" s="353"/>
      <c r="G17" s="353"/>
      <c r="H17" s="353"/>
      <c r="I17" s="353"/>
      <c r="J17" s="353"/>
      <c r="K17" s="353"/>
      <c r="L17" s="353"/>
      <c r="M17" s="353"/>
      <c r="N17" s="353"/>
      <c r="O17" s="353"/>
      <c r="P17" s="353"/>
      <c r="Q17" s="353"/>
      <c r="R17" s="353"/>
      <c r="S17" s="353"/>
      <c r="T17" s="353"/>
      <c r="U17" s="353"/>
      <c r="V17" s="353"/>
      <c r="W17" s="353"/>
      <c r="X17" s="354"/>
      <c r="Y17" s="354"/>
      <c r="Z17" s="354"/>
      <c r="AA17" s="354"/>
      <c r="AB17" s="354"/>
      <c r="AC17" s="354"/>
      <c r="AD17" s="354"/>
      <c r="AE17" s="354"/>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4"/>
      <c r="BE17" s="4"/>
      <c r="BF17" s="4"/>
      <c r="BG17" s="114"/>
      <c r="BH17" s="114"/>
      <c r="BI17" s="85"/>
      <c r="BJ17" s="85"/>
      <c r="BK17" s="114"/>
      <c r="BL17" s="114"/>
      <c r="BM17" s="2"/>
      <c r="BN17" s="2"/>
    </row>
    <row r="18" spans="1:66">
      <c r="A18" s="2" t="s">
        <v>59</v>
      </c>
      <c r="B18" s="353"/>
      <c r="C18" s="353"/>
      <c r="D18" s="353"/>
      <c r="E18" s="353"/>
      <c r="F18" s="353">
        <f t="shared" ref="F18:AA18" si="9">F6/B6-1</f>
        <v>-6.9851847444517112E-2</v>
      </c>
      <c r="G18" s="353">
        <f t="shared" si="9"/>
        <v>1.4274433578327139E-2</v>
      </c>
      <c r="H18" s="353">
        <f t="shared" si="9"/>
        <v>-9.3288025326014323E-2</v>
      </c>
      <c r="I18" s="353">
        <f t="shared" si="9"/>
        <v>-5.6636523978834785E-2</v>
      </c>
      <c r="J18" s="353">
        <f t="shared" si="9"/>
        <v>0.20362550818780734</v>
      </c>
      <c r="K18" s="353">
        <f t="shared" si="9"/>
        <v>0.13893374152593219</v>
      </c>
      <c r="L18" s="353">
        <f t="shared" si="9"/>
        <v>0.2732090595470702</v>
      </c>
      <c r="M18" s="353">
        <f t="shared" si="9"/>
        <v>0.25080157454890917</v>
      </c>
      <c r="N18" s="353">
        <f t="shared" si="9"/>
        <v>0.25054275007834526</v>
      </c>
      <c r="O18" s="353">
        <f t="shared" si="9"/>
        <v>0.22142206703033107</v>
      </c>
      <c r="P18" s="353">
        <f t="shared" si="9"/>
        <v>0.23598296823802456</v>
      </c>
      <c r="Q18" s="353">
        <f t="shared" si="9"/>
        <v>0.2276938353353235</v>
      </c>
      <c r="R18" s="353">
        <f t="shared" si="9"/>
        <v>0.13658860106038606</v>
      </c>
      <c r="S18" s="353">
        <f t="shared" si="9"/>
        <v>0.13390713373666374</v>
      </c>
      <c r="T18" s="353">
        <f t="shared" si="9"/>
        <v>0.10653847822745477</v>
      </c>
      <c r="U18" s="353">
        <f t="shared" si="9"/>
        <v>0.13281515477784933</v>
      </c>
      <c r="V18" s="353">
        <f t="shared" si="9"/>
        <v>0.19417684483512243</v>
      </c>
      <c r="W18" s="353">
        <f t="shared" si="9"/>
        <v>0.19166042618944634</v>
      </c>
      <c r="X18" s="354">
        <f t="shared" si="9"/>
        <v>-2.5310699401066894E-2</v>
      </c>
      <c r="Y18" s="354">
        <f t="shared" si="9"/>
        <v>-0.18327442518056769</v>
      </c>
      <c r="Z18" s="354">
        <f t="shared" si="9"/>
        <v>-0.30676061465853843</v>
      </c>
      <c r="AA18" s="354">
        <f t="shared" si="9"/>
        <v>-0.32956096618683495</v>
      </c>
      <c r="AB18" s="354">
        <f t="shared" ref="AB18:AG18" si="10">AB6/X6-1</f>
        <v>-0.33773644482507448</v>
      </c>
      <c r="AC18" s="354">
        <f t="shared" si="10"/>
        <v>-0.38528973832159341</v>
      </c>
      <c r="AD18" s="354">
        <f t="shared" si="10"/>
        <v>-0.37664993170885919</v>
      </c>
      <c r="AE18" s="354">
        <f t="shared" si="10"/>
        <v>-0.4899139882148883</v>
      </c>
      <c r="AF18" s="327">
        <f t="shared" si="10"/>
        <v>-0.44437048957458114</v>
      </c>
      <c r="AG18" s="327">
        <f t="shared" si="10"/>
        <v>-0.12814150374196576</v>
      </c>
      <c r="AH18" s="327">
        <f t="shared" ref="AH18:AN18" si="11">AH6/AD6-1</f>
        <v>0.40356432157957989</v>
      </c>
      <c r="AI18" s="327">
        <f t="shared" si="11"/>
        <v>0.85918663279152407</v>
      </c>
      <c r="AJ18" s="327">
        <f t="shared" si="11"/>
        <v>1.057131301584211</v>
      </c>
      <c r="AK18" s="327">
        <f t="shared" si="11"/>
        <v>0.97978190699524492</v>
      </c>
      <c r="AL18" s="327">
        <f t="shared" si="11"/>
        <v>0.34808173767235795</v>
      </c>
      <c r="AM18" s="327">
        <f t="shared" si="11"/>
        <v>0.47618779583093107</v>
      </c>
      <c r="AN18" s="327">
        <f t="shared" si="11"/>
        <v>0.61057939199624278</v>
      </c>
      <c r="AO18" s="327">
        <f t="shared" ref="AO18:AS18" si="12">AO6/AK6-1</f>
        <v>0.31698392232187333</v>
      </c>
      <c r="AP18" s="327">
        <f t="shared" si="12"/>
        <v>0.34671244658252465</v>
      </c>
      <c r="AQ18" s="327">
        <f t="shared" si="12"/>
        <v>0.26748407426156739</v>
      </c>
      <c r="AR18" s="327">
        <f t="shared" si="12"/>
        <v>0.22235270007645913</v>
      </c>
      <c r="AS18" s="327">
        <f t="shared" si="12"/>
        <v>0.32441403795002888</v>
      </c>
      <c r="AT18" s="327">
        <f>AT6/AP6-1</f>
        <v>0.3175025456426237</v>
      </c>
      <c r="AU18" s="327">
        <f>AU6/AQ6-1</f>
        <v>0.32214092565173336</v>
      </c>
      <c r="AV18" s="453">
        <f>AV6/AR34-1</f>
        <v>0.31861767353651738</v>
      </c>
      <c r="AW18" s="453">
        <f>AW6/AS34-1</f>
        <v>0.18767325585041239</v>
      </c>
      <c r="AX18" s="453">
        <f>AX6/AT34-1</f>
        <v>0.205015132878684</v>
      </c>
      <c r="AY18" s="327">
        <f>AY6/AU6-1</f>
        <v>0.16511961949076737</v>
      </c>
      <c r="AZ18" s="327">
        <f>AZ6/AV6-1</f>
        <v>0.14520015783108331</v>
      </c>
      <c r="BA18" s="327">
        <f>BA6/AW6-1</f>
        <v>0.15566472291858835</v>
      </c>
      <c r="BB18" s="327">
        <f>BB6/AX6-1</f>
        <v>0.12187412100223116</v>
      </c>
      <c r="BC18" s="327">
        <f>BC6/AY6-1</f>
        <v>0.23183840558168844</v>
      </c>
      <c r="BD18" s="4"/>
      <c r="BE18" s="246"/>
      <c r="BF18" s="4"/>
      <c r="BG18" s="114"/>
      <c r="BH18" s="114"/>
      <c r="BI18" s="85"/>
      <c r="BJ18" s="85"/>
      <c r="BK18" s="114"/>
      <c r="BL18" s="114">
        <f>42552/AF6-1</f>
        <v>1.1824278948394831</v>
      </c>
      <c r="BM18" s="2"/>
      <c r="BN18" s="2"/>
    </row>
    <row r="19" spans="1:66">
      <c r="A19" s="2" t="s">
        <v>60</v>
      </c>
      <c r="B19" s="353"/>
      <c r="C19" s="353">
        <f t="shared" ref="C19:AC19" si="13">C6/B6-1</f>
        <v>-2.046766228357233E-2</v>
      </c>
      <c r="D19" s="353">
        <f t="shared" si="13"/>
        <v>4.5708558585920045E-2</v>
      </c>
      <c r="E19" s="353">
        <f t="shared" si="13"/>
        <v>3.740814963259842E-2</v>
      </c>
      <c r="F19" s="353">
        <f t="shared" si="13"/>
        <v>-0.12466754388420731</v>
      </c>
      <c r="G19" s="353">
        <f t="shared" si="13"/>
        <v>6.8125119938591494E-2</v>
      </c>
      <c r="H19" s="353">
        <f t="shared" si="13"/>
        <v>-6.5187447598514803E-2</v>
      </c>
      <c r="I19" s="353">
        <f t="shared" si="13"/>
        <v>7.9342707966302495E-2</v>
      </c>
      <c r="J19" s="353">
        <f t="shared" si="13"/>
        <v>0.11682559173195584</v>
      </c>
      <c r="K19" s="353">
        <f t="shared" si="13"/>
        <v>1.0716149661124774E-2</v>
      </c>
      <c r="L19" s="353">
        <f t="shared" si="13"/>
        <v>4.5022872973503381E-2</v>
      </c>
      <c r="M19" s="353">
        <f t="shared" si="13"/>
        <v>6.0347119335136812E-2</v>
      </c>
      <c r="N19" s="353">
        <f t="shared" si="13"/>
        <v>0.11659449049385873</v>
      </c>
      <c r="O19" s="353">
        <f t="shared" si="13"/>
        <v>-1.2819826733082573E-2</v>
      </c>
      <c r="P19" s="353">
        <f t="shared" si="13"/>
        <v>5.7480871910875919E-2</v>
      </c>
      <c r="Q19" s="353">
        <f t="shared" si="13"/>
        <v>5.3235890118366269E-2</v>
      </c>
      <c r="R19" s="353">
        <f t="shared" si="13"/>
        <v>3.3733764375801556E-2</v>
      </c>
      <c r="S19" s="353">
        <f t="shared" si="13"/>
        <v>-1.5148806079498756E-2</v>
      </c>
      <c r="T19" s="353">
        <f t="shared" si="13"/>
        <v>3.1956886013078334E-2</v>
      </c>
      <c r="U19" s="353">
        <f t="shared" si="13"/>
        <v>7.8246804208078169E-2</v>
      </c>
      <c r="V19" s="353">
        <f t="shared" si="13"/>
        <v>8.9728469764259522E-2</v>
      </c>
      <c r="W19" s="353">
        <f t="shared" si="13"/>
        <v>-1.7224125089674525E-2</v>
      </c>
      <c r="X19" s="354">
        <f t="shared" si="13"/>
        <v>-0.15593627733977011</v>
      </c>
      <c r="Y19" s="354">
        <f t="shared" si="13"/>
        <v>-9.6500043221032228E-2</v>
      </c>
      <c r="Z19" s="354">
        <f t="shared" si="13"/>
        <v>-7.5034849085648392E-2</v>
      </c>
      <c r="AA19" s="354">
        <f t="shared" si="13"/>
        <v>-4.9547209864275854E-2</v>
      </c>
      <c r="AB19" s="354">
        <f t="shared" si="13"/>
        <v>-0.16622897300021489</v>
      </c>
      <c r="AC19" s="354">
        <f t="shared" si="13"/>
        <v>-0.16137511943967475</v>
      </c>
      <c r="AD19" s="354">
        <f t="shared" ref="AD19:AO19" si="14">AD6/AC6-1</f>
        <v>-6.2034382808091038E-2</v>
      </c>
      <c r="AE19" s="354">
        <f t="shared" si="14"/>
        <v>-0.2222465388679038</v>
      </c>
      <c r="AF19" s="327">
        <f t="shared" si="14"/>
        <v>-9.1784960113836522E-2</v>
      </c>
      <c r="AG19" s="327">
        <f t="shared" si="14"/>
        <v>0.3159168358967881</v>
      </c>
      <c r="AH19" s="327">
        <f t="shared" si="14"/>
        <v>0.50998709172331713</v>
      </c>
      <c r="AI19" s="327">
        <f t="shared" si="14"/>
        <v>3.0226272007833899E-2</v>
      </c>
      <c r="AJ19" s="327">
        <f t="shared" si="14"/>
        <v>4.9112628967999949E-3</v>
      </c>
      <c r="AK19" s="327">
        <f t="shared" si="14"/>
        <v>0.26643755836712391</v>
      </c>
      <c r="AL19" s="327">
        <f t="shared" si="14"/>
        <v>2.8187001447371296E-2</v>
      </c>
      <c r="AM19" s="327">
        <f t="shared" si="14"/>
        <v>0.12812703205091824</v>
      </c>
      <c r="AN19" s="327">
        <f t="shared" si="14"/>
        <v>9.6398016145007759E-2</v>
      </c>
      <c r="AO19" s="327">
        <f t="shared" si="14"/>
        <v>3.5576334381634878E-2</v>
      </c>
      <c r="AP19" s="327">
        <f t="shared" ref="AP19:AU19" si="15">AP6/AO6-1</f>
        <v>5.1396458828692371E-2</v>
      </c>
      <c r="AQ19" s="327">
        <f t="shared" si="15"/>
        <v>6.1758247276202383E-2</v>
      </c>
      <c r="AR19" s="327">
        <f t="shared" si="15"/>
        <v>5.7358512511576754E-2</v>
      </c>
      <c r="AS19" s="327">
        <f t="shared" si="15"/>
        <v>0.12204262692599288</v>
      </c>
      <c r="AT19" s="327">
        <f t="shared" si="15"/>
        <v>4.5909716519259236E-2</v>
      </c>
      <c r="AU19" s="327">
        <f t="shared" si="15"/>
        <v>6.5496257684577897E-2</v>
      </c>
      <c r="AV19" s="453">
        <f>AV6/AU34-1</f>
        <v>5.4540854769145275E-2</v>
      </c>
      <c r="AW19" s="453">
        <f>AW6/AV34-1</f>
        <v>1.0618958526524169E-2</v>
      </c>
      <c r="AX19" s="453">
        <f>AX6/AW34-1</f>
        <v>6.1181625352100699E-2</v>
      </c>
      <c r="AY19" s="327">
        <f t="shared" ref="AY19:BC19" si="16">AY6/AX6-1</f>
        <v>3.021992043918531E-2</v>
      </c>
      <c r="AZ19" s="327">
        <f t="shared" si="16"/>
        <v>3.6511902399151142E-2</v>
      </c>
      <c r="BA19" s="327">
        <f t="shared" si="16"/>
        <v>1.9853752809295466E-2</v>
      </c>
      <c r="BB19" s="327">
        <f t="shared" si="16"/>
        <v>3.0153624624806863E-2</v>
      </c>
      <c r="BC19" s="327">
        <f t="shared" si="16"/>
        <v>0.13120040870412053</v>
      </c>
      <c r="BD19" s="4"/>
      <c r="BE19" s="246"/>
      <c r="BF19" s="4"/>
      <c r="BG19" s="114"/>
      <c r="BH19" s="114"/>
      <c r="BI19" s="85"/>
      <c r="BJ19" s="85"/>
      <c r="BK19" s="114"/>
      <c r="BL19" s="114">
        <f>42552/AI6-1</f>
        <v>6.6118808408287988E-2</v>
      </c>
      <c r="BM19" s="2"/>
      <c r="BN19" s="2"/>
    </row>
    <row r="20" spans="1:66">
      <c r="A20" s="2"/>
      <c r="B20" s="353"/>
      <c r="C20" s="353"/>
      <c r="D20" s="353"/>
      <c r="E20" s="353"/>
      <c r="F20" s="353"/>
      <c r="G20" s="353"/>
      <c r="H20" s="353"/>
      <c r="I20" s="353"/>
      <c r="J20" s="353"/>
      <c r="K20" s="353"/>
      <c r="L20" s="353"/>
      <c r="M20" s="353"/>
      <c r="N20" s="353"/>
      <c r="O20" s="353"/>
      <c r="P20" s="353"/>
      <c r="Q20" s="353"/>
      <c r="R20" s="353"/>
      <c r="S20" s="353"/>
      <c r="T20" s="353"/>
      <c r="U20" s="353"/>
      <c r="V20" s="353"/>
      <c r="W20" s="353"/>
      <c r="X20" s="354"/>
      <c r="Y20" s="354"/>
      <c r="Z20" s="354"/>
      <c r="AA20" s="354"/>
      <c r="AB20" s="354"/>
      <c r="AC20" s="354"/>
      <c r="AD20" s="354"/>
      <c r="AE20" s="354"/>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7"/>
      <c r="BC20" s="327"/>
      <c r="BD20" s="4"/>
      <c r="BE20" s="4"/>
      <c r="BF20" s="4"/>
      <c r="BG20" s="114"/>
      <c r="BH20" s="114"/>
      <c r="BI20" s="85"/>
      <c r="BJ20" s="85"/>
      <c r="BK20" s="114"/>
      <c r="BL20" s="114"/>
      <c r="BM20" s="2"/>
      <c r="BN20" s="2"/>
    </row>
    <row r="21" spans="1:66">
      <c r="A21" s="2" t="s">
        <v>56</v>
      </c>
      <c r="B21" s="353">
        <f t="shared" ref="B21:Y21" si="17">B6/B4</f>
        <v>0.34159180521117027</v>
      </c>
      <c r="C21" s="353">
        <f t="shared" si="17"/>
        <v>0.33657374753391189</v>
      </c>
      <c r="D21" s="353">
        <f t="shared" si="17"/>
        <v>0.33834165323690107</v>
      </c>
      <c r="E21" s="353">
        <f t="shared" si="17"/>
        <v>0.3398702138996727</v>
      </c>
      <c r="F21" s="353">
        <f t="shared" si="17"/>
        <v>0.29881014956754431</v>
      </c>
      <c r="G21" s="353">
        <f t="shared" si="17"/>
        <v>0.30664977136245936</v>
      </c>
      <c r="H21" s="353">
        <f t="shared" si="17"/>
        <v>0.29178271678785728</v>
      </c>
      <c r="I21" s="353">
        <f t="shared" si="17"/>
        <v>0.30584625997295162</v>
      </c>
      <c r="J21" s="353">
        <f t="shared" si="17"/>
        <v>0.32438131534665543</v>
      </c>
      <c r="K21" s="353">
        <f t="shared" si="17"/>
        <v>0.33499699164954938</v>
      </c>
      <c r="L21" s="353">
        <f t="shared" si="17"/>
        <v>0.3413465243570698</v>
      </c>
      <c r="M21" s="353">
        <f t="shared" si="17"/>
        <v>0.34879570290764644</v>
      </c>
      <c r="N21" s="353">
        <f t="shared" si="17"/>
        <v>0.36903453043592799</v>
      </c>
      <c r="O21" s="353">
        <f t="shared" si="17"/>
        <v>0.3677154743514619</v>
      </c>
      <c r="P21" s="353">
        <f t="shared" si="17"/>
        <v>0.37321694818125078</v>
      </c>
      <c r="Q21" s="353">
        <f t="shared" si="17"/>
        <v>0.3857585004943227</v>
      </c>
      <c r="R21" s="353">
        <f t="shared" si="17"/>
        <v>0.38763944974788495</v>
      </c>
      <c r="S21" s="353">
        <f t="shared" si="17"/>
        <v>0.38576759908322034</v>
      </c>
      <c r="T21" s="353">
        <f t="shared" si="17"/>
        <v>0.38899551770244323</v>
      </c>
      <c r="U21" s="353">
        <f t="shared" si="17"/>
        <v>0.40004024464550469</v>
      </c>
      <c r="V21" s="353">
        <f t="shared" si="17"/>
        <v>0.4243489939831962</v>
      </c>
      <c r="W21" s="353">
        <f t="shared" si="17"/>
        <v>0.42633794103547201</v>
      </c>
      <c r="X21" s="354">
        <f t="shared" si="17"/>
        <v>0.38359866010004395</v>
      </c>
      <c r="Y21" s="354">
        <f t="shared" si="17"/>
        <v>0.3690554590562678</v>
      </c>
      <c r="Z21" s="354">
        <f t="shared" ref="Z21:AA21" si="18">Z6/Z4</f>
        <v>0.34287285031785486</v>
      </c>
      <c r="AA21" s="354">
        <f t="shared" si="18"/>
        <v>0.34370763576970192</v>
      </c>
      <c r="AB21" s="354">
        <f t="shared" ref="AB21:AC21" si="19">AB6/AB4</f>
        <v>0.32639560526770506</v>
      </c>
      <c r="AC21" s="354">
        <f t="shared" si="19"/>
        <v>0.28424140415325921</v>
      </c>
      <c r="AD21" s="354">
        <f t="shared" ref="AD21:AE21" si="20">AD6/AD4</f>
        <v>0.26337477313441954</v>
      </c>
      <c r="AE21" s="354">
        <f t="shared" si="20"/>
        <v>0.20940049710838371</v>
      </c>
      <c r="AF21" s="327">
        <f t="shared" ref="AF21:AG21" si="21">AF6/AF4</f>
        <v>0.19135172826133567</v>
      </c>
      <c r="AG21" s="327">
        <f t="shared" si="21"/>
        <v>0.24131471733454332</v>
      </c>
      <c r="AH21" s="327">
        <f t="shared" ref="AH21:AI21" si="22">AH6/AH4</f>
        <v>0.35651903191395851</v>
      </c>
      <c r="AI21" s="327">
        <f t="shared" si="22"/>
        <v>0.36346003241845304</v>
      </c>
      <c r="AJ21" s="327">
        <f t="shared" ref="AJ21:AK21" si="23">AJ6/AJ4</f>
        <v>0.35922959433181106</v>
      </c>
      <c r="AK21" s="327">
        <f t="shared" si="23"/>
        <v>0.3921567138993603</v>
      </c>
      <c r="AL21" s="327">
        <f t="shared" ref="AL21:AM21" si="24">AL6/AL4</f>
        <v>0.40558304703325743</v>
      </c>
      <c r="AM21" s="327">
        <f t="shared" si="24"/>
        <v>0.42596442075208102</v>
      </c>
      <c r="AN21" s="327">
        <f t="shared" ref="AN21" si="25">AN6/AN4</f>
        <v>0.43710084845059677</v>
      </c>
      <c r="AO21" s="327">
        <f t="shared" ref="AO21:AP21" si="26">AO6/AO4</f>
        <v>0.47513212340403538</v>
      </c>
      <c r="AP21" s="327">
        <f t="shared" si="26"/>
        <v>0.4916634831943939</v>
      </c>
      <c r="AQ21" s="327">
        <f t="shared" ref="AQ21:AR21" si="27">AQ6/AQ4</f>
        <v>0.49158734547178007</v>
      </c>
      <c r="AR21" s="327">
        <f t="shared" si="27"/>
        <v>0.49298146393583758</v>
      </c>
      <c r="AS21" s="327">
        <f t="shared" ref="AS21:AT21" si="28">AS6/AS4</f>
        <v>0.50552447969679604</v>
      </c>
      <c r="AT21" s="327">
        <f t="shared" si="28"/>
        <v>0.51083053936119094</v>
      </c>
      <c r="AU21" s="327">
        <f t="shared" ref="AU21:AV21" si="29">AU6/AU4</f>
        <v>0.52290437655374999</v>
      </c>
      <c r="AV21" s="327">
        <f t="shared" si="29"/>
        <v>0.53802091856849843</v>
      </c>
      <c r="AW21" s="327">
        <f t="shared" ref="AW21:AY21" si="30">AW6/AW4</f>
        <v>0.53826582507080478</v>
      </c>
      <c r="AX21" s="327">
        <f t="shared" si="30"/>
        <v>0.54757994353317463</v>
      </c>
      <c r="AY21" s="327">
        <f t="shared" si="30"/>
        <v>0.54905939722618291</v>
      </c>
      <c r="AZ21" s="327">
        <f t="shared" ref="AZ21:BA21" si="31">AZ6/AZ4</f>
        <v>0.55105226695063769</v>
      </c>
      <c r="BA21" s="327">
        <f t="shared" si="31"/>
        <v>0.55111428280772523</v>
      </c>
      <c r="BB21" s="327">
        <f t="shared" ref="BB21:BC21" si="32">BB6/BB4</f>
        <v>0.55609514441054997</v>
      </c>
      <c r="BC21" s="327">
        <f t="shared" si="32"/>
        <v>0.57055775432719602</v>
      </c>
      <c r="BD21" s="4"/>
      <c r="BE21" s="246"/>
      <c r="BF21" s="4"/>
      <c r="BG21" s="114"/>
      <c r="BH21" s="114"/>
      <c r="BI21" s="85"/>
      <c r="BJ21" s="85"/>
      <c r="BK21" s="114"/>
      <c r="BL21" s="114">
        <f>42552/115362</f>
        <v>0.36885629583398344</v>
      </c>
      <c r="BM21" s="2"/>
      <c r="BN21" s="2"/>
    </row>
    <row r="22" spans="1:66">
      <c r="A22" s="2" t="s">
        <v>61</v>
      </c>
      <c r="B22" s="353"/>
      <c r="C22" s="353"/>
      <c r="D22" s="353"/>
      <c r="E22" s="353"/>
      <c r="F22" s="353">
        <f t="shared" ref="F22:AC22" si="33">F21-B21</f>
        <v>-4.278165564362596E-2</v>
      </c>
      <c r="G22" s="353">
        <f t="shared" si="33"/>
        <v>-2.9923976171452538E-2</v>
      </c>
      <c r="H22" s="353">
        <f t="shared" si="33"/>
        <v>-4.6558936449043797E-2</v>
      </c>
      <c r="I22" s="353">
        <f t="shared" si="33"/>
        <v>-3.4023953926721084E-2</v>
      </c>
      <c r="J22" s="353">
        <f t="shared" si="33"/>
        <v>2.5571165779111116E-2</v>
      </c>
      <c r="K22" s="353">
        <f t="shared" si="33"/>
        <v>2.8347220287090025E-2</v>
      </c>
      <c r="L22" s="353">
        <f t="shared" si="33"/>
        <v>4.9563807569212526E-2</v>
      </c>
      <c r="M22" s="353">
        <f t="shared" si="33"/>
        <v>4.2949442934694826E-2</v>
      </c>
      <c r="N22" s="353">
        <f t="shared" si="33"/>
        <v>4.4653215089272558E-2</v>
      </c>
      <c r="O22" s="353">
        <f t="shared" si="33"/>
        <v>3.2718482701912521E-2</v>
      </c>
      <c r="P22" s="353">
        <f t="shared" si="33"/>
        <v>3.1870423824180982E-2</v>
      </c>
      <c r="Q22" s="353">
        <f t="shared" si="33"/>
        <v>3.6962797586676255E-2</v>
      </c>
      <c r="R22" s="353">
        <f t="shared" si="33"/>
        <v>1.8604919311956958E-2</v>
      </c>
      <c r="S22" s="353">
        <f t="shared" si="33"/>
        <v>1.8052124731758434E-2</v>
      </c>
      <c r="T22" s="353">
        <f t="shared" si="33"/>
        <v>1.5778569521192443E-2</v>
      </c>
      <c r="U22" s="353">
        <f t="shared" si="33"/>
        <v>1.4281744151181996E-2</v>
      </c>
      <c r="V22" s="353">
        <f t="shared" si="33"/>
        <v>3.6709544235311253E-2</v>
      </c>
      <c r="W22" s="353">
        <f t="shared" si="33"/>
        <v>4.0570341952251676E-2</v>
      </c>
      <c r="X22" s="354">
        <f t="shared" si="33"/>
        <v>-5.3968576023992743E-3</v>
      </c>
      <c r="Y22" s="354">
        <f t="shared" si="33"/>
        <v>-3.0984785589236896E-2</v>
      </c>
      <c r="Z22" s="354">
        <f t="shared" si="33"/>
        <v>-8.1476143665341338E-2</v>
      </c>
      <c r="AA22" s="354">
        <f t="shared" si="33"/>
        <v>-8.2630305265770088E-2</v>
      </c>
      <c r="AB22" s="354">
        <f t="shared" si="33"/>
        <v>-5.7203054832338895E-2</v>
      </c>
      <c r="AC22" s="354">
        <f t="shared" si="33"/>
        <v>-8.4814054903008584E-2</v>
      </c>
      <c r="AD22" s="354">
        <f t="shared" ref="AD22:AN22" si="34">AD21-Z21</f>
        <v>-7.9498077183435323E-2</v>
      </c>
      <c r="AE22" s="354">
        <f t="shared" si="34"/>
        <v>-0.13430713866131821</v>
      </c>
      <c r="AF22" s="327">
        <f t="shared" si="34"/>
        <v>-0.13504387700636938</v>
      </c>
      <c r="AG22" s="327">
        <f t="shared" si="34"/>
        <v>-4.2926686818715892E-2</v>
      </c>
      <c r="AH22" s="327">
        <f t="shared" si="34"/>
        <v>9.3144258779538969E-2</v>
      </c>
      <c r="AI22" s="327">
        <f t="shared" si="34"/>
        <v>0.15405953531006933</v>
      </c>
      <c r="AJ22" s="327">
        <f t="shared" si="34"/>
        <v>0.16787786607047539</v>
      </c>
      <c r="AK22" s="327">
        <f t="shared" si="34"/>
        <v>0.15084199656481698</v>
      </c>
      <c r="AL22" s="327">
        <f t="shared" si="34"/>
        <v>4.906401511929892E-2</v>
      </c>
      <c r="AM22" s="327">
        <f t="shared" si="34"/>
        <v>6.250438833362798E-2</v>
      </c>
      <c r="AN22" s="327">
        <f t="shared" si="34"/>
        <v>7.7871254118785704E-2</v>
      </c>
      <c r="AO22" s="327">
        <f t="shared" ref="AO22:AS22" si="35">AO21-AK21</f>
        <v>8.2975409504675079E-2</v>
      </c>
      <c r="AP22" s="327">
        <f t="shared" si="35"/>
        <v>8.6080436161136475E-2</v>
      </c>
      <c r="AQ22" s="327">
        <f t="shared" si="35"/>
        <v>6.562292471969905E-2</v>
      </c>
      <c r="AR22" s="327">
        <f t="shared" si="35"/>
        <v>5.5880615485240814E-2</v>
      </c>
      <c r="AS22" s="327">
        <f t="shared" si="35"/>
        <v>3.0392356292760658E-2</v>
      </c>
      <c r="AT22" s="327">
        <f t="shared" ref="AT22:BC22" si="36">AT21-AP21</f>
        <v>1.9167056166797036E-2</v>
      </c>
      <c r="AU22" s="327">
        <f t="shared" si="36"/>
        <v>3.1317031081969926E-2</v>
      </c>
      <c r="AV22" s="327">
        <f t="shared" si="36"/>
        <v>4.5039454632660847E-2</v>
      </c>
      <c r="AW22" s="327">
        <f t="shared" si="36"/>
        <v>3.2741345374008746E-2</v>
      </c>
      <c r="AX22" s="327">
        <f t="shared" si="36"/>
        <v>3.6749404171983691E-2</v>
      </c>
      <c r="AY22" s="327">
        <f t="shared" si="36"/>
        <v>2.6155020672432916E-2</v>
      </c>
      <c r="AZ22" s="327">
        <f t="shared" si="36"/>
        <v>1.3031348382139263E-2</v>
      </c>
      <c r="BA22" s="327">
        <f t="shared" si="36"/>
        <v>1.2848457736920449E-2</v>
      </c>
      <c r="BB22" s="327">
        <f t="shared" si="36"/>
        <v>8.5152008773753396E-3</v>
      </c>
      <c r="BC22" s="327">
        <f t="shared" si="36"/>
        <v>2.149835710101311E-2</v>
      </c>
      <c r="BD22" s="4"/>
      <c r="BE22" s="246"/>
      <c r="BF22" s="4"/>
      <c r="BG22" s="114"/>
      <c r="BH22" s="114"/>
      <c r="BI22" s="85"/>
      <c r="BJ22" s="85"/>
      <c r="BK22" s="114"/>
      <c r="BL22" s="114">
        <f>BL21-AF21</f>
        <v>0.17750456757264776</v>
      </c>
      <c r="BM22" s="2"/>
      <c r="BN22" s="2"/>
    </row>
    <row r="23" spans="1:66">
      <c r="A23" s="2"/>
      <c r="B23" s="353"/>
      <c r="C23" s="353"/>
      <c r="D23" s="353"/>
      <c r="E23" s="353"/>
      <c r="F23" s="353"/>
      <c r="G23" s="353"/>
      <c r="H23" s="353"/>
      <c r="I23" s="353"/>
      <c r="J23" s="353"/>
      <c r="K23" s="353"/>
      <c r="L23" s="353"/>
      <c r="M23" s="353"/>
      <c r="N23" s="353"/>
      <c r="O23" s="353"/>
      <c r="P23" s="353"/>
      <c r="Q23" s="353"/>
      <c r="R23" s="353"/>
      <c r="S23" s="353"/>
      <c r="T23" s="353"/>
      <c r="U23" s="353"/>
      <c r="V23" s="353"/>
      <c r="W23" s="353"/>
      <c r="X23" s="354"/>
      <c r="Y23" s="354"/>
      <c r="Z23" s="354"/>
      <c r="AA23" s="354"/>
      <c r="AB23" s="354"/>
      <c r="AC23" s="354"/>
      <c r="AD23" s="354"/>
      <c r="AE23" s="354"/>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7"/>
      <c r="BC23" s="327"/>
      <c r="BD23" s="4"/>
      <c r="BE23" s="4"/>
      <c r="BF23" s="4"/>
      <c r="BG23" s="114"/>
      <c r="BH23" s="114"/>
      <c r="BI23" s="85"/>
      <c r="BJ23" s="85"/>
      <c r="BK23" s="114"/>
      <c r="BL23" s="114"/>
      <c r="BM23" s="2"/>
      <c r="BN23" s="2"/>
    </row>
    <row r="24" spans="1:66">
      <c r="A24" s="2" t="s">
        <v>62</v>
      </c>
      <c r="B24" s="364">
        <f t="shared" ref="B24:Y24" si="37">B6-B8</f>
        <v>33614</v>
      </c>
      <c r="C24" s="364">
        <f t="shared" si="37"/>
        <v>32926</v>
      </c>
      <c r="D24" s="364">
        <f t="shared" si="37"/>
        <v>34431</v>
      </c>
      <c r="E24" s="364">
        <f t="shared" si="37"/>
        <v>35719</v>
      </c>
      <c r="F24" s="364">
        <f t="shared" si="37"/>
        <v>13802</v>
      </c>
      <c r="G24" s="364">
        <f t="shared" si="37"/>
        <v>16603</v>
      </c>
      <c r="H24" s="364">
        <f t="shared" si="37"/>
        <v>16000</v>
      </c>
      <c r="I24" s="364">
        <f t="shared" si="37"/>
        <v>16383</v>
      </c>
      <c r="J24" s="364">
        <f t="shared" si="37"/>
        <v>16653.555185313791</v>
      </c>
      <c r="K24" s="364">
        <f t="shared" si="37"/>
        <v>16618.924240928685</v>
      </c>
      <c r="L24" s="364">
        <f t="shared" si="37"/>
        <v>16646.558993757524</v>
      </c>
      <c r="M24" s="364">
        <f t="shared" si="37"/>
        <v>16753.684347999977</v>
      </c>
      <c r="N24" s="364">
        <f t="shared" si="37"/>
        <v>17558.80015399999</v>
      </c>
      <c r="O24" s="364">
        <f t="shared" si="37"/>
        <v>17474.65854204433</v>
      </c>
      <c r="P24" s="364">
        <f t="shared" si="37"/>
        <v>17514.721194863225</v>
      </c>
      <c r="Q24" s="364">
        <f t="shared" si="37"/>
        <v>17789.453610075514</v>
      </c>
      <c r="R24" s="364">
        <f t="shared" si="37"/>
        <v>19745.105991999997</v>
      </c>
      <c r="S24" s="364">
        <f t="shared" si="37"/>
        <v>21952.979020000013</v>
      </c>
      <c r="T24" s="364">
        <f t="shared" si="37"/>
        <v>23375.261172999999</v>
      </c>
      <c r="U24" s="364">
        <f t="shared" si="37"/>
        <v>26182.634764999995</v>
      </c>
      <c r="V24" s="364">
        <f t="shared" si="37"/>
        <v>29439.152285999997</v>
      </c>
      <c r="W24" s="364">
        <f t="shared" si="37"/>
        <v>29377.625709000007</v>
      </c>
      <c r="X24" s="361">
        <f t="shared" si="37"/>
        <v>29963.822387999986</v>
      </c>
      <c r="Y24" s="361">
        <f t="shared" si="37"/>
        <v>33481.39976</v>
      </c>
      <c r="Z24" s="361">
        <f t="shared" ref="Z24:AA24" si="38">Z6-Z8</f>
        <v>31678</v>
      </c>
      <c r="AA24" s="361">
        <f t="shared" si="38"/>
        <v>30709</v>
      </c>
      <c r="AB24" s="361">
        <f t="shared" ref="AB24:AC24" si="39">AB6-AB8</f>
        <v>33422.483507999976</v>
      </c>
      <c r="AC24" s="361">
        <f t="shared" si="39"/>
        <v>34248.219646000027</v>
      </c>
      <c r="AD24" s="361">
        <f t="shared" ref="AD24:AE24" si="40">AD6-AD8</f>
        <v>36384.543113000007</v>
      </c>
      <c r="AE24" s="361">
        <f t="shared" si="40"/>
        <v>37386.601792000001</v>
      </c>
      <c r="AF24" s="330">
        <f t="shared" ref="AF24:AG24" si="41">AF6-AF8</f>
        <v>38529.828903999995</v>
      </c>
      <c r="AG24" s="330">
        <f t="shared" si="41"/>
        <v>39434.822235000014</v>
      </c>
      <c r="AH24" s="330">
        <f t="shared" ref="AH24:AI24" si="42">AH6-AH8</f>
        <v>51161.181825</v>
      </c>
      <c r="AI24" s="330">
        <f t="shared" si="42"/>
        <v>51362</v>
      </c>
      <c r="AJ24" s="330">
        <f t="shared" ref="AJ24:AK24" si="43">AJ6-AJ8</f>
        <v>48358.46200699998</v>
      </c>
      <c r="AK24" s="330">
        <f t="shared" si="43"/>
        <v>50530.989654000034</v>
      </c>
      <c r="AL24" s="330">
        <f t="shared" ref="AL24:AM24" si="44">AL6-AL8</f>
        <v>50577.414096</v>
      </c>
      <c r="AM24" s="330">
        <f t="shared" si="44"/>
        <v>52119.906504000006</v>
      </c>
      <c r="AN24" s="330">
        <f t="shared" ref="AN24" si="45">AN6-AN8</f>
        <v>53564.305463999983</v>
      </c>
      <c r="AO24" s="330">
        <f t="shared" ref="AO24:AP24" si="46">AO6-AO8</f>
        <v>53390.380778000021</v>
      </c>
      <c r="AP24" s="330">
        <f t="shared" si="46"/>
        <v>54634.764669000004</v>
      </c>
      <c r="AQ24" s="330">
        <f t="shared" ref="AQ24:AR24" si="47">AQ6-AQ8</f>
        <v>58568</v>
      </c>
      <c r="AR24" s="330">
        <f t="shared" si="47"/>
        <v>60201.664704208291</v>
      </c>
      <c r="AS24" s="330">
        <f t="shared" ref="AS24:AT24" si="48">AS6-AS8</f>
        <v>60244.238834320728</v>
      </c>
      <c r="AT24" s="330">
        <f t="shared" si="48"/>
        <v>61726.137375427483</v>
      </c>
      <c r="AU24" s="330">
        <f t="shared" ref="AU24:AV24" si="49">AU6-AU8</f>
        <v>62349.836066243101</v>
      </c>
      <c r="AV24" s="330">
        <f t="shared" si="49"/>
        <v>63810.71772207821</v>
      </c>
      <c r="AW24" s="330">
        <f t="shared" ref="AW24:AY24" si="50">AW6-AW8</f>
        <v>64414.410406251256</v>
      </c>
      <c r="AX24" s="330">
        <f t="shared" si="50"/>
        <v>66474.841660999999</v>
      </c>
      <c r="AY24" s="330">
        <f t="shared" si="50"/>
        <v>68262.272373</v>
      </c>
      <c r="AZ24" s="330">
        <f t="shared" ref="AZ24:BA24" si="51">AZ6-AZ8</f>
        <v>71294.737278000015</v>
      </c>
      <c r="BA24" s="330">
        <f t="shared" si="51"/>
        <v>73319.954048000014</v>
      </c>
      <c r="BB24" s="330">
        <f t="shared" ref="BB24:BC24" si="52">BB6-BB8</f>
        <v>76902</v>
      </c>
      <c r="BC24" s="330">
        <f t="shared" si="52"/>
        <v>79819</v>
      </c>
      <c r="BD24" s="5"/>
      <c r="BE24" s="5"/>
      <c r="BF24" s="5"/>
      <c r="BG24" s="113"/>
      <c r="BH24" s="113"/>
      <c r="BI24" s="85"/>
      <c r="BJ24" s="85"/>
      <c r="BK24" s="113"/>
      <c r="BL24" s="113"/>
      <c r="BM24" s="2"/>
      <c r="BN24" s="2"/>
    </row>
    <row r="25" spans="1:66">
      <c r="A25" s="2" t="s">
        <v>63</v>
      </c>
      <c r="B25" s="353"/>
      <c r="C25" s="353"/>
      <c r="D25" s="353"/>
      <c r="E25" s="353"/>
      <c r="F25" s="353">
        <f t="shared" ref="F25:AC25" si="53">F24/B24-1</f>
        <v>-0.58939727494496341</v>
      </c>
      <c r="G25" s="353">
        <f t="shared" si="53"/>
        <v>-0.49574804106177484</v>
      </c>
      <c r="H25" s="353">
        <f t="shared" si="53"/>
        <v>-0.53530248903604316</v>
      </c>
      <c r="I25" s="353">
        <f t="shared" si="53"/>
        <v>-0.54133654357624794</v>
      </c>
      <c r="J25" s="353">
        <f t="shared" si="53"/>
        <v>0.20660449103853007</v>
      </c>
      <c r="K25" s="353">
        <f t="shared" si="53"/>
        <v>9.5911828757966333E-4</v>
      </c>
      <c r="L25" s="353">
        <f t="shared" si="53"/>
        <v>4.0409937109845195E-2</v>
      </c>
      <c r="M25" s="353">
        <f t="shared" si="53"/>
        <v>2.2626158090702342E-2</v>
      </c>
      <c r="N25" s="353">
        <f t="shared" si="53"/>
        <v>5.435746053098045E-2</v>
      </c>
      <c r="O25" s="353">
        <f t="shared" si="53"/>
        <v>5.1491557979918001E-2</v>
      </c>
      <c r="P25" s="353">
        <f t="shared" si="53"/>
        <v>5.2152652174618286E-2</v>
      </c>
      <c r="Q25" s="353">
        <f t="shared" si="53"/>
        <v>6.1823372134809595E-2</v>
      </c>
      <c r="R25" s="353">
        <f t="shared" si="53"/>
        <v>0.12451339606493295</v>
      </c>
      <c r="S25" s="353">
        <f t="shared" si="53"/>
        <v>0.25627513505804811</v>
      </c>
      <c r="T25" s="353">
        <f t="shared" si="53"/>
        <v>0.33460652401681235</v>
      </c>
      <c r="U25" s="353">
        <f t="shared" si="53"/>
        <v>0.47180657365276168</v>
      </c>
      <c r="V25" s="353">
        <f t="shared" si="53"/>
        <v>0.49095944574456452</v>
      </c>
      <c r="W25" s="353">
        <f t="shared" si="53"/>
        <v>0.3382067956351551</v>
      </c>
      <c r="X25" s="354">
        <f t="shared" si="53"/>
        <v>0.28186043211402567</v>
      </c>
      <c r="Y25" s="354">
        <f t="shared" si="53"/>
        <v>0.27876357977374888</v>
      </c>
      <c r="Z25" s="354">
        <f t="shared" si="53"/>
        <v>7.605000620431257E-2</v>
      </c>
      <c r="AA25" s="354">
        <f t="shared" si="53"/>
        <v>4.5319329212915926E-2</v>
      </c>
      <c r="AB25" s="354">
        <f t="shared" si="53"/>
        <v>0.11542790086037646</v>
      </c>
      <c r="AC25" s="354">
        <f t="shared" si="53"/>
        <v>2.290286223087179E-2</v>
      </c>
      <c r="AD25" s="354">
        <f t="shared" ref="AD25:AN25" si="54">AD24/Z24-1</f>
        <v>0.1485745032199004</v>
      </c>
      <c r="AE25" s="354">
        <f t="shared" si="54"/>
        <v>0.21744771213650727</v>
      </c>
      <c r="AF25" s="327">
        <f t="shared" si="54"/>
        <v>0.15281166627780762</v>
      </c>
      <c r="AG25" s="327">
        <f t="shared" si="54"/>
        <v>0.15144152433645552</v>
      </c>
      <c r="AH25" s="327">
        <f t="shared" si="54"/>
        <v>0.40612406939144385</v>
      </c>
      <c r="AI25" s="327">
        <f t="shared" si="54"/>
        <v>0.37380766205369476</v>
      </c>
      <c r="AJ25" s="327">
        <f t="shared" si="54"/>
        <v>0.25509153252376948</v>
      </c>
      <c r="AK25" s="327">
        <f t="shared" si="54"/>
        <v>0.28137992743762696</v>
      </c>
      <c r="AL25" s="327">
        <f t="shared" si="54"/>
        <v>-1.1410364424278008E-2</v>
      </c>
      <c r="AM25" s="327">
        <f t="shared" si="54"/>
        <v>1.4756171955920827E-2</v>
      </c>
      <c r="AN25" s="327">
        <f t="shared" si="54"/>
        <v>0.10765113779355606</v>
      </c>
      <c r="AO25" s="327">
        <f t="shared" ref="AO25:AS25" si="55">AO24/AK24-1</f>
        <v>5.658688150734914E-2</v>
      </c>
      <c r="AP25" s="327">
        <f t="shared" si="55"/>
        <v>8.0220601339934472E-2</v>
      </c>
      <c r="AQ25" s="327">
        <f t="shared" si="55"/>
        <v>0.12371652077896811</v>
      </c>
      <c r="AR25" s="327">
        <f t="shared" si="55"/>
        <v>0.12391384864813015</v>
      </c>
      <c r="AS25" s="327">
        <f t="shared" si="55"/>
        <v>0.12837252622002082</v>
      </c>
      <c r="AT25" s="327">
        <f>AT24/AP24-1</f>
        <v>0.12979597787946817</v>
      </c>
      <c r="AU25" s="327">
        <f>AU24/AQ24-1</f>
        <v>6.4571712645866253E-2</v>
      </c>
      <c r="AV25" s="327">
        <f>AV24/AR24-1</f>
        <v>5.9949389034380518E-2</v>
      </c>
      <c r="AW25" s="327">
        <f>AW24/AS24-1</f>
        <v>6.9221084914011799E-2</v>
      </c>
      <c r="AX25" s="327">
        <f>AX24/AT24-1</f>
        <v>7.6931823170631741E-2</v>
      </c>
      <c r="AY25" s="327"/>
      <c r="AZ25" s="327"/>
      <c r="BA25" s="327"/>
      <c r="BB25" s="327"/>
      <c r="BC25" s="327"/>
      <c r="BD25" s="4"/>
      <c r="BE25" s="4"/>
      <c r="BF25" s="4"/>
      <c r="BG25" s="4"/>
      <c r="BH25" s="4"/>
      <c r="BI25" s="2"/>
      <c r="BJ25" s="2"/>
      <c r="BK25" s="4"/>
      <c r="BL25" s="4"/>
      <c r="BM25" s="2"/>
      <c r="BN25" s="2"/>
    </row>
    <row r="26" spans="1:66">
      <c r="A26" s="2"/>
      <c r="B26" s="353"/>
      <c r="C26" s="353"/>
      <c r="D26" s="353"/>
      <c r="E26" s="353"/>
      <c r="F26" s="353"/>
      <c r="G26" s="353"/>
      <c r="H26" s="353"/>
      <c r="I26" s="353"/>
      <c r="J26" s="353"/>
      <c r="K26" s="353"/>
      <c r="L26" s="353"/>
      <c r="M26" s="353"/>
      <c r="N26" s="353"/>
      <c r="O26" s="353"/>
      <c r="P26" s="353"/>
      <c r="Q26" s="353"/>
      <c r="R26" s="353"/>
      <c r="S26" s="353"/>
      <c r="T26" s="353"/>
      <c r="U26" s="353"/>
      <c r="V26" s="353"/>
      <c r="W26" s="353"/>
      <c r="X26" s="354"/>
      <c r="Y26" s="354"/>
      <c r="Z26" s="354"/>
      <c r="AA26" s="354"/>
      <c r="AB26" s="354"/>
      <c r="AC26" s="354"/>
      <c r="AD26" s="354"/>
      <c r="AE26" s="354"/>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4"/>
      <c r="BE26" s="4"/>
      <c r="BF26" s="4"/>
      <c r="BG26" s="4"/>
      <c r="BH26" s="4"/>
      <c r="BI26" s="2"/>
      <c r="BJ26" s="2"/>
      <c r="BK26" s="4"/>
      <c r="BL26" s="4"/>
      <c r="BM26" s="2"/>
      <c r="BN26" s="2"/>
    </row>
    <row r="27" spans="1:66">
      <c r="A27" s="2" t="s">
        <v>48</v>
      </c>
      <c r="B27" s="353"/>
      <c r="C27" s="353"/>
      <c r="D27" s="353"/>
      <c r="E27" s="353"/>
      <c r="F27" s="353">
        <f t="shared" ref="F27:AC27" si="56">F9/B9-1</f>
        <v>0.35295866785608099</v>
      </c>
      <c r="G27" s="353">
        <f t="shared" si="56"/>
        <v>0.39813504287736246</v>
      </c>
      <c r="H27" s="353">
        <f t="shared" si="56"/>
        <v>3.3890097932535364</v>
      </c>
      <c r="I27" s="353">
        <f t="shared" si="56"/>
        <v>1.8201933404940922</v>
      </c>
      <c r="J27" s="353">
        <f t="shared" si="56"/>
        <v>-0.56555655032967023</v>
      </c>
      <c r="K27" s="353">
        <f t="shared" si="56"/>
        <v>-0.56956138408860901</v>
      </c>
      <c r="L27" s="353">
        <f t="shared" si="56"/>
        <v>0.67713987888930416</v>
      </c>
      <c r="M27" s="353">
        <f t="shared" si="56"/>
        <v>-1.7304623476538938E-2</v>
      </c>
      <c r="N27" s="353">
        <f t="shared" si="56"/>
        <v>1.8935727032870142</v>
      </c>
      <c r="O27" s="353">
        <f t="shared" si="56"/>
        <v>1.0599033100125097</v>
      </c>
      <c r="P27" s="353">
        <f t="shared" si="56"/>
        <v>0.53276351418914025</v>
      </c>
      <c r="Q27" s="353">
        <f t="shared" si="56"/>
        <v>1.6818775884598183</v>
      </c>
      <c r="R27" s="353">
        <f t="shared" si="56"/>
        <v>-3.1188878645926899E-2</v>
      </c>
      <c r="S27" s="353">
        <f t="shared" si="56"/>
        <v>1.0829717550544586</v>
      </c>
      <c r="T27" s="353">
        <f t="shared" si="56"/>
        <v>0.58169562483633319</v>
      </c>
      <c r="U27" s="353">
        <f t="shared" si="56"/>
        <v>-2.3261026758438441E-2</v>
      </c>
      <c r="V27" s="353">
        <f t="shared" si="56"/>
        <v>0.44101894153401489</v>
      </c>
      <c r="W27" s="353">
        <f t="shared" si="56"/>
        <v>0.19476970892716139</v>
      </c>
      <c r="X27" s="354">
        <f t="shared" si="56"/>
        <v>0.34423375745236662</v>
      </c>
      <c r="Y27" s="354">
        <f t="shared" si="56"/>
        <v>-0.3921103566737606</v>
      </c>
      <c r="Z27" s="354">
        <f t="shared" si="56"/>
        <v>0.58821193733598198</v>
      </c>
      <c r="AA27" s="354">
        <f t="shared" si="56"/>
        <v>0.64760490031218421</v>
      </c>
      <c r="AB27" s="354">
        <f t="shared" si="56"/>
        <v>0.11941583742856698</v>
      </c>
      <c r="AC27" s="354">
        <f t="shared" si="56"/>
        <v>0.63338401810786737</v>
      </c>
      <c r="AD27" s="354">
        <f t="shared" ref="AD27:AN27" si="57">AD9/Z9-1</f>
        <v>0.36706319969272005</v>
      </c>
      <c r="AE27" s="354">
        <f t="shared" si="57"/>
        <v>-3.5876560878523867E-2</v>
      </c>
      <c r="AF27" s="327">
        <f t="shared" si="57"/>
        <v>-0.24480775744753147</v>
      </c>
      <c r="AG27" s="327">
        <f t="shared" si="57"/>
        <v>3.2111582268335326E-2</v>
      </c>
      <c r="AH27" s="327">
        <f t="shared" si="57"/>
        <v>-0.47474723776880823</v>
      </c>
      <c r="AI27" s="327">
        <f t="shared" si="57"/>
        <v>-0.66635876518565162</v>
      </c>
      <c r="AJ27" s="327">
        <f t="shared" si="57"/>
        <v>-0.31815938690171908</v>
      </c>
      <c r="AK27" s="327">
        <f t="shared" si="57"/>
        <v>1.0203533748638578</v>
      </c>
      <c r="AL27" s="327">
        <f t="shared" si="57"/>
        <v>-0.29763015333721821</v>
      </c>
      <c r="AM27" s="327">
        <f t="shared" si="57"/>
        <v>1.1251734789610142</v>
      </c>
      <c r="AN27" s="327">
        <f t="shared" si="57"/>
        <v>0.65452556594911626</v>
      </c>
      <c r="AO27" s="327">
        <f t="shared" ref="AO27:AS27" si="58">AO9/AK9-1</f>
        <v>-0.46557757234876973</v>
      </c>
      <c r="AP27" s="327">
        <f t="shared" si="58"/>
        <v>0.70978634545617036</v>
      </c>
      <c r="AQ27" s="327">
        <f t="shared" si="58"/>
        <v>0.10917882076275065</v>
      </c>
      <c r="AR27" s="327">
        <f t="shared" si="58"/>
        <v>-0.30943860975533233</v>
      </c>
      <c r="AS27" s="327">
        <f t="shared" si="58"/>
        <v>-0.31650588603429741</v>
      </c>
      <c r="AT27" s="327">
        <f t="shared" ref="AT27:BC27" si="59">AT9/AP9-1</f>
        <v>-0.17507528171366304</v>
      </c>
      <c r="AU27" s="327">
        <f t="shared" si="59"/>
        <v>-0.16937140255951633</v>
      </c>
      <c r="AV27" s="327">
        <f t="shared" si="59"/>
        <v>1.1969184854904102</v>
      </c>
      <c r="AW27" s="327">
        <f t="shared" si="59"/>
        <v>1.6008224346558118</v>
      </c>
      <c r="AX27" s="327">
        <f t="shared" si="59"/>
        <v>1.1695435783083612</v>
      </c>
      <c r="AY27" s="327">
        <f t="shared" si="59"/>
        <v>0.47861511301000514</v>
      </c>
      <c r="AZ27" s="327">
        <f t="shared" si="59"/>
        <v>-9.898174831260298E-2</v>
      </c>
      <c r="BA27" s="327">
        <f t="shared" si="59"/>
        <v>-9.5812463345648413E-2</v>
      </c>
      <c r="BB27" s="327">
        <f t="shared" si="59"/>
        <v>-0.38075177939143845</v>
      </c>
      <c r="BC27" s="327">
        <f t="shared" si="59"/>
        <v>-0.29855903122261518</v>
      </c>
      <c r="BD27" s="4"/>
      <c r="BE27" s="4"/>
      <c r="BF27" s="4"/>
      <c r="BG27" s="4"/>
      <c r="BH27" s="4"/>
      <c r="BI27" s="2"/>
      <c r="BJ27" s="2"/>
      <c r="BK27" s="4"/>
      <c r="BL27" s="4"/>
      <c r="BM27" s="2"/>
      <c r="BN27" s="2"/>
    </row>
    <row r="28" spans="1:66">
      <c r="A28" s="2" t="s">
        <v>49</v>
      </c>
      <c r="B28" s="353">
        <f t="shared" ref="B28:Y28" si="60">B9/B4</f>
        <v>0.1367017600910532</v>
      </c>
      <c r="C28" s="353">
        <f t="shared" si="60"/>
        <v>0.12277796518343606</v>
      </c>
      <c r="D28" s="353">
        <f t="shared" si="60"/>
        <v>1.8061396957666759E-2</v>
      </c>
      <c r="E28" s="353">
        <f t="shared" si="60"/>
        <v>4.4292837025196014E-2</v>
      </c>
      <c r="F28" s="353">
        <f t="shared" si="60"/>
        <v>0.17393797486500692</v>
      </c>
      <c r="G28" s="353">
        <f t="shared" si="60"/>
        <v>0.15419719758323691</v>
      </c>
      <c r="H28" s="353">
        <f t="shared" si="60"/>
        <v>7.5396751219694566E-2</v>
      </c>
      <c r="I28" s="353">
        <f t="shared" si="60"/>
        <v>0.11915805142820836</v>
      </c>
      <c r="J28" s="353">
        <f t="shared" si="60"/>
        <v>6.8154849855834629E-2</v>
      </c>
      <c r="K28" s="353">
        <f t="shared" si="60"/>
        <v>6.3663060013020509E-2</v>
      </c>
      <c r="L28" s="353">
        <f t="shared" si="60"/>
        <v>0.11618715561963368</v>
      </c>
      <c r="M28" s="353">
        <f t="shared" si="60"/>
        <v>0.10676326281518568</v>
      </c>
      <c r="N28" s="353">
        <f t="shared" si="60"/>
        <v>0.17940882247751316</v>
      </c>
      <c r="O28" s="353">
        <f t="shared" si="60"/>
        <v>0.11785271240988904</v>
      </c>
      <c r="P28" s="353">
        <f t="shared" si="60"/>
        <v>0.15753848319480826</v>
      </c>
      <c r="Q28" s="353">
        <f t="shared" si="60"/>
        <v>0.25793786026756771</v>
      </c>
      <c r="R28" s="353">
        <f t="shared" si="60"/>
        <v>0.1606351483839891</v>
      </c>
      <c r="S28" s="353">
        <f t="shared" si="60"/>
        <v>0.22712205942166167</v>
      </c>
      <c r="T28" s="353">
        <f t="shared" si="60"/>
        <v>0.23470713508554544</v>
      </c>
      <c r="U28" s="353">
        <f t="shared" si="60"/>
        <v>0.23063368537496348</v>
      </c>
      <c r="V28" s="353">
        <f t="shared" si="60"/>
        <v>0.21219582304984619</v>
      </c>
      <c r="W28" s="353">
        <f t="shared" si="60"/>
        <v>0.25166292450561961</v>
      </c>
      <c r="X28" s="354">
        <f t="shared" si="60"/>
        <v>0.31920330222901094</v>
      </c>
      <c r="Y28" s="354">
        <f t="shared" si="60"/>
        <v>0.15836502638586722</v>
      </c>
      <c r="Z28" s="354">
        <f t="shared" ref="Z28" si="61">Z9/Z4</f>
        <v>0.39280045219788301</v>
      </c>
      <c r="AA28" s="354">
        <f t="shared" ref="AA28:AF28" si="62">AA9/AA4</f>
        <v>0.49859534503879133</v>
      </c>
      <c r="AB28" s="354">
        <f t="shared" si="62"/>
        <v>0.45908720344979387</v>
      </c>
      <c r="AC28" s="354">
        <f t="shared" si="62"/>
        <v>0.32409536674541123</v>
      </c>
      <c r="AD28" s="354">
        <f t="shared" si="62"/>
        <v>0.66171295454261003</v>
      </c>
      <c r="AE28" s="354">
        <f t="shared" si="62"/>
        <v>0.57415080059957491</v>
      </c>
      <c r="AF28" s="327">
        <f t="shared" si="62"/>
        <v>0.36580992998045964</v>
      </c>
      <c r="AG28" s="327">
        <f t="shared" ref="AG28:AH28" si="63">AG9/AG4</f>
        <v>0.32572413514934689</v>
      </c>
      <c r="AH28" s="327">
        <f t="shared" si="63"/>
        <v>0.3352078697366293</v>
      </c>
      <c r="AI28" s="327">
        <f t="shared" ref="AI28:AJ28" si="64">AI9/AI4</f>
        <v>0.17883876372775784</v>
      </c>
      <c r="AJ28" s="327">
        <f t="shared" si="64"/>
        <v>0.22762295786854467</v>
      </c>
      <c r="AK28" s="327">
        <f t="shared" ref="AK28:AL28" si="65">AK9/AK4</f>
        <v>0.54017660536700074</v>
      </c>
      <c r="AL28" s="327">
        <f t="shared" si="65"/>
        <v>0.19868309398682743</v>
      </c>
      <c r="AM28" s="327">
        <f t="shared" ref="AM28:AO28" si="66">AM9/AM4</f>
        <v>0.30173875953277884</v>
      </c>
      <c r="AN28" s="327">
        <f t="shared" ref="AN28" si="67">AN9/AN4</f>
        <v>0.28452271791769651</v>
      </c>
      <c r="AO28" s="327">
        <f t="shared" si="66"/>
        <v>0.26557960017701782</v>
      </c>
      <c r="AP28" s="327">
        <f t="shared" ref="AP28:AQ28" si="68">AP9/AP4</f>
        <v>0.30578490646105594</v>
      </c>
      <c r="AQ28" s="327">
        <f t="shared" si="68"/>
        <v>0.30473162447174057</v>
      </c>
      <c r="AR28" s="327">
        <f t="shared" ref="AR28:AS28" si="69">AR9/AR4</f>
        <v>0.1812890804591068</v>
      </c>
      <c r="AS28" s="327">
        <f t="shared" si="69"/>
        <v>0.14582551315459263</v>
      </c>
      <c r="AT28" s="327">
        <f t="shared" ref="AT28:AU28" si="70">AT9/AT4</f>
        <v>0.19892428167181381</v>
      </c>
      <c r="AU28" s="327">
        <f t="shared" si="70"/>
        <v>0.20364241537344091</v>
      </c>
      <c r="AV28" s="327">
        <f t="shared" ref="AV28:AW28" si="71">AV9/AV4</f>
        <v>0.32963648038760263</v>
      </c>
      <c r="AW28" s="327">
        <f t="shared" si="71"/>
        <v>0.34001795821100489</v>
      </c>
      <c r="AX28" s="327">
        <f t="shared" ref="AX28:AY28" si="72">AX9/AX4</f>
        <v>0.38391435840216909</v>
      </c>
      <c r="AY28" s="327">
        <f t="shared" si="72"/>
        <v>0.27136255339611837</v>
      </c>
      <c r="AZ28" s="327">
        <f t="shared" ref="AZ28:BA28" si="73">AZ9/AZ4</f>
        <v>0.26563242645397994</v>
      </c>
      <c r="BA28" s="327">
        <f t="shared" si="73"/>
        <v>0.27237884534656331</v>
      </c>
      <c r="BB28" s="327">
        <f t="shared" ref="BB28:BC28" si="74">BB9/BB4</f>
        <v>0.21520708389818582</v>
      </c>
      <c r="BC28" s="327">
        <f t="shared" si="74"/>
        <v>0.16057117599806287</v>
      </c>
      <c r="BD28" s="4"/>
      <c r="BE28" s="4"/>
      <c r="BF28" s="4"/>
      <c r="BG28" s="4"/>
      <c r="BH28" s="4"/>
      <c r="BI28" s="2"/>
      <c r="BJ28" s="2"/>
      <c r="BK28" s="4"/>
      <c r="BL28" s="4"/>
      <c r="BM28" s="2"/>
      <c r="BN28" s="2"/>
    </row>
    <row r="29" spans="1:66">
      <c r="A29" s="2"/>
      <c r="B29" s="321"/>
      <c r="C29" s="321"/>
      <c r="D29" s="321"/>
      <c r="E29" s="321"/>
      <c r="F29" s="321"/>
      <c r="G29" s="321"/>
      <c r="H29" s="321"/>
      <c r="I29" s="321"/>
      <c r="J29" s="321"/>
      <c r="K29" s="321"/>
      <c r="L29" s="321"/>
      <c r="M29" s="321"/>
      <c r="N29" s="321"/>
      <c r="O29" s="321"/>
      <c r="P29" s="321"/>
      <c r="Q29" s="321"/>
      <c r="R29" s="321"/>
      <c r="S29" s="321"/>
      <c r="T29" s="321"/>
      <c r="U29" s="321"/>
      <c r="V29" s="321"/>
      <c r="W29" s="321"/>
      <c r="X29" s="321"/>
      <c r="Y29" s="321"/>
      <c r="Z29" s="321"/>
      <c r="AA29" s="321"/>
      <c r="AB29" s="321"/>
      <c r="AC29" s="321"/>
      <c r="AD29" s="321"/>
      <c r="AE29" s="321"/>
      <c r="AF29" s="322"/>
      <c r="AG29" s="322"/>
      <c r="AH29" s="322"/>
      <c r="AI29" s="322"/>
      <c r="AJ29" s="322"/>
      <c r="AK29" s="322"/>
      <c r="AL29" s="322"/>
      <c r="AM29" s="322"/>
      <c r="AN29" s="322"/>
      <c r="AO29" s="322"/>
      <c r="AP29" s="322"/>
      <c r="AQ29" s="322"/>
      <c r="AR29" s="322"/>
      <c r="AS29" s="322"/>
      <c r="AT29" s="322"/>
      <c r="AU29" s="322"/>
      <c r="AV29" s="322"/>
      <c r="AW29" s="322"/>
      <c r="AX29" s="322"/>
      <c r="AY29" s="322"/>
      <c r="AZ29" s="322"/>
      <c r="BA29" s="322"/>
      <c r="BB29" s="322"/>
      <c r="BC29" s="322"/>
      <c r="BD29" s="2"/>
      <c r="BE29" s="2"/>
      <c r="BF29" s="2"/>
      <c r="BG29" s="2"/>
      <c r="BH29" s="2"/>
      <c r="BI29" s="2"/>
      <c r="BJ29" s="2"/>
      <c r="BK29" s="2"/>
      <c r="BL29" s="2"/>
      <c r="BM29" s="2"/>
      <c r="BN29" s="2"/>
    </row>
    <row r="30" spans="1:66" s="459" customFormat="1">
      <c r="A30" s="454" t="s">
        <v>789</v>
      </c>
      <c r="B30" s="455" t="str">
        <f>'Revenue, EBITDA, capex breakout'!B$1</f>
        <v>Q1 12</v>
      </c>
      <c r="C30" s="455" t="str">
        <f>'Revenue, EBITDA, capex breakout'!C$1</f>
        <v>Q2 12</v>
      </c>
      <c r="D30" s="455" t="str">
        <f>'Revenue, EBITDA, capex breakout'!D$1</f>
        <v>Q3 12</v>
      </c>
      <c r="E30" s="455" t="str">
        <f>'Revenue, EBITDA, capex breakout'!E$1</f>
        <v>4Q12</v>
      </c>
      <c r="F30" s="455" t="str">
        <f>'Revenue, EBITDA, capex breakout'!F$1</f>
        <v>1Q13</v>
      </c>
      <c r="G30" s="455" t="str">
        <f>'Revenue, EBITDA, capex breakout'!G$1</f>
        <v>2Q13</v>
      </c>
      <c r="H30" s="455" t="str">
        <f>'Revenue, EBITDA, capex breakout'!H$1</f>
        <v>3Q13</v>
      </c>
      <c r="I30" s="455" t="str">
        <f>'Revenue, EBITDA, capex breakout'!I$1</f>
        <v>4Q13</v>
      </c>
      <c r="J30" s="455" t="str">
        <f>'Revenue, EBITDA, capex breakout'!J$1</f>
        <v>1Q14</v>
      </c>
      <c r="K30" s="455" t="str">
        <f>'Revenue, EBITDA, capex breakout'!K$1</f>
        <v>2Q14</v>
      </c>
      <c r="L30" s="455" t="str">
        <f>'Revenue, EBITDA, capex breakout'!L$1</f>
        <v>3Q14</v>
      </c>
      <c r="M30" s="455" t="str">
        <f>'Revenue, EBITDA, capex breakout'!M$1</f>
        <v>4Q14</v>
      </c>
      <c r="N30" s="455" t="str">
        <f>'Revenue, EBITDA, capex breakout'!N$1</f>
        <v>1Q15</v>
      </c>
      <c r="O30" s="455" t="str">
        <f>'Revenue, EBITDA, capex breakout'!O$1</f>
        <v>2Q15</v>
      </c>
      <c r="P30" s="455" t="str">
        <f>'Revenue, EBITDA, capex breakout'!P$1</f>
        <v>3Q15</v>
      </c>
      <c r="Q30" s="455" t="str">
        <f>'Revenue, EBITDA, capex breakout'!Q$1</f>
        <v>4Q15</v>
      </c>
      <c r="R30" s="455" t="str">
        <f>'Revenue, EBITDA, capex breakout'!R$1</f>
        <v>1Q16</v>
      </c>
      <c r="S30" s="455" t="str">
        <f>'Revenue, EBITDA, capex breakout'!S$1</f>
        <v>2Q16</v>
      </c>
      <c r="T30" s="455" t="str">
        <f>'Revenue, EBITDA, capex breakout'!T$1</f>
        <v>3Q16</v>
      </c>
      <c r="U30" s="455" t="str">
        <f>'Revenue, EBITDA, capex breakout'!U$1</f>
        <v>4Q16</v>
      </c>
      <c r="V30" s="455" t="str">
        <f>'Revenue, EBITDA, capex breakout'!V$1</f>
        <v>1Q17</v>
      </c>
      <c r="W30" s="455" t="str">
        <f>'Revenue, EBITDA, capex breakout'!W$1</f>
        <v>2Q17</v>
      </c>
      <c r="X30" s="455" t="str">
        <f>'Revenue, EBITDA, capex breakout'!X$1</f>
        <v>3Q17</v>
      </c>
      <c r="Y30" s="455" t="str">
        <f>'Revenue, EBITDA, capex breakout'!Y$1</f>
        <v>4Q17</v>
      </c>
      <c r="Z30" s="455" t="str">
        <f>'Revenue, EBITDA, capex breakout'!Z$1</f>
        <v>1Q18</v>
      </c>
      <c r="AA30" s="455" t="str">
        <f>'Revenue, EBITDA, capex breakout'!AA$1</f>
        <v>2Q18</v>
      </c>
      <c r="AB30" s="455" t="str">
        <f>'Revenue, EBITDA, capex breakout'!AB$1</f>
        <v>3Q18</v>
      </c>
      <c r="AC30" s="455" t="str">
        <f>'Revenue, EBITDA, capex breakout'!AC$1</f>
        <v>4Q18</v>
      </c>
      <c r="AD30" s="455" t="str">
        <f>'Revenue, EBITDA, capex breakout'!AD$1</f>
        <v>1Q19</v>
      </c>
      <c r="AE30" s="455" t="str">
        <f>'Revenue, EBITDA, capex breakout'!AE$1</f>
        <v>2Q19</v>
      </c>
      <c r="AF30" s="455" t="str">
        <f>'Revenue, EBITDA, capex breakout'!AF$1</f>
        <v>3Q19</v>
      </c>
      <c r="AG30" s="455" t="str">
        <f>'Revenue, EBITDA, capex breakout'!AG$1</f>
        <v>4Q19</v>
      </c>
      <c r="AH30" s="455" t="str">
        <f>'Revenue, EBITDA, capex breakout'!AH$1</f>
        <v>1Q20</v>
      </c>
      <c r="AI30" s="455" t="str">
        <f>'Revenue, EBITDA, capex breakout'!AI$1</f>
        <v>2Q20</v>
      </c>
      <c r="AJ30" s="455" t="str">
        <f>'Revenue, EBITDA, capex breakout'!AJ$1</f>
        <v>3Q20</v>
      </c>
      <c r="AK30" s="455" t="str">
        <f>'Revenue, EBITDA, capex breakout'!AK$1</f>
        <v>4Q20</v>
      </c>
      <c r="AL30" s="455" t="str">
        <f>'Revenue, EBITDA, capex breakout'!AL$1</f>
        <v>1Q21</v>
      </c>
      <c r="AM30" s="455" t="str">
        <f>'Revenue, EBITDA, capex breakout'!AM$1</f>
        <v>2Q21</v>
      </c>
      <c r="AN30" s="455" t="str">
        <f>'Revenue, EBITDA, capex breakout'!AN$1</f>
        <v>3Q21</v>
      </c>
      <c r="AO30" s="455" t="str">
        <f>'Revenue, EBITDA, capex breakout'!AO$1</f>
        <v>4Q21</v>
      </c>
      <c r="AP30" s="455" t="str">
        <f>'Revenue, EBITDA, capex breakout'!AP$1</f>
        <v>1Q22</v>
      </c>
      <c r="AQ30" s="455" t="str">
        <f>'Revenue, EBITDA, capex breakout'!AQ$1</f>
        <v>2Q22</v>
      </c>
      <c r="AR30" s="455" t="str">
        <f>'Revenue, EBITDA, capex breakout'!AR$1</f>
        <v>3Q22</v>
      </c>
      <c r="AS30" s="455" t="str">
        <f>'Revenue, EBITDA, capex breakout'!AS$1</f>
        <v>4Q22</v>
      </c>
      <c r="AT30" s="455" t="str">
        <f>'Revenue, EBITDA, capex breakout'!AT$1</f>
        <v>1Q23</v>
      </c>
      <c r="AU30" s="455" t="str">
        <f>'Revenue, EBITDA, capex breakout'!AU$1</f>
        <v>2Q23</v>
      </c>
      <c r="AV30" s="455" t="str">
        <f>'Revenue, EBITDA, capex breakout'!AV$1</f>
        <v>3Q23</v>
      </c>
      <c r="AW30" s="455" t="str">
        <f>'Revenue, EBITDA, capex breakout'!AW$1</f>
        <v>4Q23</v>
      </c>
      <c r="AX30" s="455" t="str">
        <f>'Revenue, EBITDA, capex breakout'!AX$1</f>
        <v>1Q24</v>
      </c>
      <c r="AY30" s="455" t="str">
        <f>'Revenue, EBITDA, capex breakout'!AY$1</f>
        <v>2Q24</v>
      </c>
      <c r="AZ30" s="455" t="str">
        <f>'Revenue, EBITDA, capex breakout'!AZ$1</f>
        <v>3Q24</v>
      </c>
      <c r="BA30" s="455" t="str">
        <f>'Revenue, EBITDA, capex breakout'!BA$1</f>
        <v>4Q24</v>
      </c>
      <c r="BB30" s="455" t="str">
        <f>'Revenue, EBITDA, capex breakout'!BB$1</f>
        <v>1Q25</v>
      </c>
      <c r="BC30" s="455" t="str">
        <f>'Revenue, EBITDA, capex breakout'!BC$1</f>
        <v>2Q25</v>
      </c>
      <c r="BD30" s="456"/>
      <c r="BE30" s="456"/>
      <c r="BF30" s="456"/>
      <c r="BG30" s="457"/>
      <c r="BH30" s="457"/>
      <c r="BI30" s="458"/>
      <c r="BJ30" s="458"/>
      <c r="BK30" s="457"/>
      <c r="BL30" s="457"/>
      <c r="BM30" s="454"/>
      <c r="BN30" s="454"/>
    </row>
    <row r="31" spans="1:66">
      <c r="A31" s="2"/>
      <c r="B31" s="321"/>
      <c r="C31" s="321"/>
      <c r="D31" s="321"/>
      <c r="E31" s="321"/>
      <c r="F31" s="321"/>
      <c r="G31" s="321"/>
      <c r="H31" s="321"/>
      <c r="I31" s="321"/>
      <c r="J31" s="321"/>
      <c r="K31" s="321"/>
      <c r="L31" s="321"/>
      <c r="M31" s="321"/>
      <c r="N31" s="321"/>
      <c r="O31" s="321"/>
      <c r="P31" s="321"/>
      <c r="Q31" s="321"/>
      <c r="R31" s="321"/>
      <c r="S31" s="321"/>
      <c r="T31" s="321"/>
      <c r="U31" s="321"/>
      <c r="V31" s="321"/>
      <c r="W31" s="321"/>
      <c r="X31" s="321"/>
      <c r="Y31" s="321"/>
      <c r="Z31" s="321"/>
      <c r="AA31" s="321"/>
      <c r="AB31" s="388"/>
      <c r="AC31" s="388"/>
      <c r="AD31" s="388"/>
      <c r="AE31" s="388"/>
      <c r="AF31" s="341"/>
      <c r="AG31" s="341"/>
      <c r="AH31" s="341"/>
      <c r="AI31" s="341"/>
      <c r="AJ31" s="341"/>
      <c r="AK31" s="341"/>
      <c r="AL31" s="390"/>
      <c r="AM31" s="390"/>
      <c r="AN31" s="390"/>
      <c r="AO31" s="390"/>
      <c r="AP31" s="390"/>
      <c r="AQ31" s="390"/>
      <c r="AR31" s="390"/>
      <c r="AS31" s="390"/>
      <c r="AT31" s="390"/>
      <c r="AU31" s="390"/>
      <c r="AV31" s="390"/>
      <c r="AW31" s="390"/>
      <c r="AX31" s="390"/>
      <c r="AY31" s="390"/>
      <c r="AZ31" s="390"/>
      <c r="BA31" s="390"/>
      <c r="BB31" s="390"/>
      <c r="BC31" s="390"/>
      <c r="BD31" s="2"/>
      <c r="BE31" s="2"/>
      <c r="BF31" s="2"/>
      <c r="BG31" s="2"/>
      <c r="BH31" s="2"/>
      <c r="BI31" s="2"/>
      <c r="BJ31" s="2"/>
      <c r="BK31" s="2"/>
      <c r="BL31" s="2"/>
      <c r="BM31" s="2"/>
      <c r="BN31" s="2"/>
    </row>
    <row r="32" spans="1:66">
      <c r="A32" s="2" t="s">
        <v>340</v>
      </c>
      <c r="B32" s="321"/>
      <c r="C32" s="321"/>
      <c r="D32" s="321"/>
      <c r="E32" s="321"/>
      <c r="F32" s="321"/>
      <c r="G32" s="321"/>
      <c r="H32" s="321"/>
      <c r="I32" s="321"/>
      <c r="J32" s="321"/>
      <c r="K32" s="321"/>
      <c r="L32" s="321"/>
      <c r="M32" s="321"/>
      <c r="N32" s="321"/>
      <c r="O32" s="321"/>
      <c r="P32" s="321"/>
      <c r="Q32" s="321"/>
      <c r="R32" s="321"/>
      <c r="S32" s="321"/>
      <c r="T32" s="321"/>
      <c r="U32" s="321"/>
      <c r="V32" s="321"/>
      <c r="W32" s="321"/>
      <c r="X32" s="321"/>
      <c r="Y32" s="321"/>
      <c r="Z32" s="321"/>
      <c r="AA32" s="321"/>
      <c r="AB32" s="388"/>
      <c r="AC32" s="388"/>
      <c r="AD32" s="388"/>
      <c r="AE32" s="388"/>
      <c r="AF32" s="341"/>
      <c r="AG32" s="341"/>
      <c r="AH32" s="341"/>
      <c r="AI32" s="341"/>
      <c r="AJ32" s="341"/>
      <c r="AK32" s="341"/>
      <c r="AL32" s="341"/>
      <c r="AM32" s="341"/>
      <c r="AN32" s="341"/>
      <c r="AO32" s="341"/>
      <c r="AP32" s="337"/>
      <c r="AQ32" s="337"/>
      <c r="AR32" s="337">
        <v>160173.31711710998</v>
      </c>
      <c r="AS32" s="337">
        <v>175262.06535446507</v>
      </c>
      <c r="AT32" s="337">
        <v>181404.25125552001</v>
      </c>
      <c r="AU32" s="337">
        <v>188822.59666189004</v>
      </c>
      <c r="AV32" s="337">
        <v>193526.52150788001</v>
      </c>
      <c r="AW32" s="337">
        <v>195492.58361471014</v>
      </c>
      <c r="AX32" s="337">
        <v>203924.44172899998</v>
      </c>
      <c r="AY32" s="337"/>
      <c r="AZ32" s="337"/>
      <c r="BA32" s="337"/>
      <c r="BB32" s="337"/>
      <c r="BC32" s="337"/>
      <c r="BD32" s="2"/>
      <c r="BE32" s="2"/>
      <c r="BF32" s="2"/>
      <c r="BG32" s="2"/>
      <c r="BH32" s="2"/>
      <c r="BI32" s="2"/>
      <c r="BJ32" s="2"/>
      <c r="BK32" s="2"/>
      <c r="BL32" s="2"/>
      <c r="BM32" s="2"/>
      <c r="BN32" s="2"/>
    </row>
    <row r="33" spans="1:66">
      <c r="A33" s="3" t="s">
        <v>772</v>
      </c>
      <c r="B33" s="321"/>
      <c r="C33" s="321"/>
      <c r="D33" s="321"/>
      <c r="E33" s="321"/>
      <c r="F33" s="321"/>
      <c r="G33" s="321"/>
      <c r="H33" s="321"/>
      <c r="I33" s="321"/>
      <c r="J33" s="321"/>
      <c r="K33" s="321"/>
      <c r="L33" s="321"/>
      <c r="M33" s="321"/>
      <c r="N33" s="321"/>
      <c r="O33" s="321"/>
      <c r="P33" s="321"/>
      <c r="Q33" s="321"/>
      <c r="R33" s="321"/>
      <c r="S33" s="321"/>
      <c r="T33" s="321"/>
      <c r="U33" s="321"/>
      <c r="V33" s="321"/>
      <c r="W33" s="321"/>
      <c r="X33" s="321"/>
      <c r="Y33" s="321"/>
      <c r="Z33" s="321"/>
      <c r="AA33" s="321"/>
      <c r="AB33" s="353"/>
      <c r="AC33" s="354"/>
      <c r="AD33" s="354"/>
      <c r="AE33" s="326"/>
      <c r="AF33" s="327"/>
      <c r="AG33" s="327"/>
      <c r="AH33" s="327"/>
      <c r="AI33" s="327"/>
      <c r="AJ33" s="327"/>
      <c r="AK33" s="327"/>
      <c r="AL33" s="327"/>
      <c r="AM33" s="327"/>
      <c r="AN33" s="327"/>
      <c r="AO33" s="327"/>
      <c r="AP33" s="330"/>
      <c r="AQ33" s="330"/>
      <c r="AR33" s="330">
        <v>160173.31711710998</v>
      </c>
      <c r="AS33" s="330">
        <v>175262.06535446507</v>
      </c>
      <c r="AT33" s="330">
        <v>181404.25125552001</v>
      </c>
      <c r="AU33" s="330">
        <v>188822.59666189004</v>
      </c>
      <c r="AV33" s="330">
        <f t="shared" ref="AV33:AW33" si="75">AV32</f>
        <v>193526.52150788001</v>
      </c>
      <c r="AW33" s="330">
        <f t="shared" si="75"/>
        <v>195492.58361471014</v>
      </c>
      <c r="AX33" s="330">
        <v>203924.44172899998</v>
      </c>
      <c r="AY33" s="330"/>
      <c r="AZ33" s="330"/>
      <c r="BA33" s="330"/>
      <c r="BB33" s="330"/>
      <c r="BC33" s="330"/>
      <c r="BD33" s="2"/>
      <c r="BE33" s="2"/>
      <c r="BF33" s="2"/>
      <c r="BG33" s="2"/>
      <c r="BH33" s="2"/>
      <c r="BK33" s="2"/>
      <c r="BL33" s="2"/>
      <c r="BM33" s="2"/>
      <c r="BN33" s="2"/>
    </row>
    <row r="34" spans="1:66">
      <c r="A34" s="2" t="s">
        <v>37</v>
      </c>
      <c r="B34" s="321"/>
      <c r="C34" s="321"/>
      <c r="D34" s="321"/>
      <c r="E34" s="321"/>
      <c r="F34" s="321"/>
      <c r="G34" s="321"/>
      <c r="H34" s="321"/>
      <c r="I34" s="321"/>
      <c r="J34" s="321"/>
      <c r="K34" s="321"/>
      <c r="L34" s="321"/>
      <c r="M34" s="321"/>
      <c r="N34" s="321"/>
      <c r="O34" s="321"/>
      <c r="P34" s="321"/>
      <c r="Q34" s="321"/>
      <c r="R34" s="321"/>
      <c r="S34" s="321"/>
      <c r="T34" s="321"/>
      <c r="U34" s="321"/>
      <c r="V34" s="321"/>
      <c r="W34" s="321"/>
      <c r="X34" s="321"/>
      <c r="Y34" s="321"/>
      <c r="Z34" s="321"/>
      <c r="AA34" s="321"/>
      <c r="AB34" s="321"/>
      <c r="AC34" s="321"/>
      <c r="AD34" s="321"/>
      <c r="AE34" s="322"/>
      <c r="AF34" s="322"/>
      <c r="AG34" s="322"/>
      <c r="AH34" s="322"/>
      <c r="AI34" s="322"/>
      <c r="AJ34" s="322"/>
      <c r="AK34" s="322"/>
      <c r="AL34" s="322"/>
      <c r="AM34" s="322"/>
      <c r="AN34" s="322"/>
      <c r="AO34" s="322"/>
      <c r="AP34" s="338"/>
      <c r="AQ34" s="338"/>
      <c r="AR34" s="338">
        <v>78962.476355852035</v>
      </c>
      <c r="AS34" s="338">
        <v>88599.264398901811</v>
      </c>
      <c r="AT34" s="338">
        <v>92666.831511270284</v>
      </c>
      <c r="AU34" s="338">
        <v>98736.162186745802</v>
      </c>
      <c r="AV34" s="338">
        <v>104121.31686903587</v>
      </c>
      <c r="AW34" s="338">
        <v>105226.97681459524</v>
      </c>
      <c r="AX34" s="338">
        <v>111664.93428699998</v>
      </c>
      <c r="AY34" s="338"/>
      <c r="AZ34" s="338"/>
      <c r="BA34" s="338"/>
      <c r="BB34" s="338"/>
      <c r="BC34" s="338"/>
      <c r="BD34" s="2"/>
      <c r="BE34" s="2"/>
      <c r="BF34" s="2"/>
      <c r="BG34" s="2"/>
      <c r="BH34" s="2"/>
      <c r="BK34" s="2"/>
      <c r="BL34" s="2"/>
      <c r="BM34" s="2"/>
      <c r="BN34" s="2"/>
    </row>
    <row r="35" spans="1:66">
      <c r="A35" s="2" t="s">
        <v>342</v>
      </c>
      <c r="B35" s="321"/>
      <c r="C35" s="321"/>
      <c r="D35" s="321"/>
      <c r="E35" s="321"/>
      <c r="F35" s="321"/>
      <c r="G35" s="321"/>
      <c r="H35" s="321"/>
      <c r="I35" s="321"/>
      <c r="J35" s="321"/>
      <c r="K35" s="321"/>
      <c r="L35" s="321"/>
      <c r="M35" s="321"/>
      <c r="N35" s="321"/>
      <c r="O35" s="321"/>
      <c r="P35" s="321"/>
      <c r="Q35" s="321"/>
      <c r="R35" s="321"/>
      <c r="S35" s="321"/>
      <c r="T35" s="321"/>
      <c r="U35" s="321"/>
      <c r="V35" s="321"/>
      <c r="W35" s="321"/>
      <c r="X35" s="321"/>
      <c r="Y35" s="321"/>
      <c r="Z35" s="321"/>
      <c r="AA35" s="321"/>
      <c r="AB35" s="321"/>
      <c r="AC35" s="321"/>
      <c r="AD35" s="321"/>
      <c r="AE35" s="322"/>
      <c r="AF35" s="322"/>
      <c r="AG35" s="322"/>
      <c r="AH35" s="322"/>
      <c r="AI35" s="322"/>
      <c r="AJ35" s="322"/>
      <c r="AK35" s="322"/>
      <c r="AL35" s="322"/>
      <c r="AM35" s="322"/>
      <c r="AN35" s="322"/>
      <c r="AO35" s="322"/>
      <c r="AP35" s="331"/>
      <c r="AQ35" s="331"/>
      <c r="AR35" s="331">
        <v>0.49298146393583758</v>
      </c>
      <c r="AS35" s="331">
        <v>0.50552447969679604</v>
      </c>
      <c r="AT35" s="331">
        <v>0.51083053936119094</v>
      </c>
      <c r="AU35" s="331">
        <v>0.52290437655374999</v>
      </c>
      <c r="AV35" s="331">
        <v>0.53802091856849865</v>
      </c>
      <c r="AW35" s="331">
        <v>0.53826582507080478</v>
      </c>
      <c r="AX35" s="331">
        <v>0.54757994353317463</v>
      </c>
      <c r="AY35" s="331"/>
      <c r="AZ35" s="331"/>
      <c r="BA35" s="331"/>
      <c r="BB35" s="331"/>
      <c r="BC35" s="331"/>
      <c r="BD35" s="2"/>
      <c r="BE35" s="2"/>
      <c r="BF35" s="2"/>
      <c r="BG35" s="2"/>
      <c r="BH35" s="2"/>
      <c r="BK35" s="2"/>
      <c r="BL35" s="2"/>
      <c r="BM35" s="2"/>
      <c r="BN35" s="2"/>
    </row>
    <row r="36" spans="1:66">
      <c r="A36" s="2" t="s">
        <v>38</v>
      </c>
      <c r="B36" s="321"/>
      <c r="C36" s="321"/>
      <c r="D36" s="321"/>
      <c r="E36" s="321"/>
      <c r="F36" s="321"/>
      <c r="G36" s="321"/>
      <c r="H36" s="321"/>
      <c r="I36" s="321"/>
      <c r="J36" s="321"/>
      <c r="K36" s="321"/>
      <c r="L36" s="321"/>
      <c r="M36" s="321"/>
      <c r="N36" s="321"/>
      <c r="O36" s="321"/>
      <c r="P36" s="321"/>
      <c r="Q36" s="321"/>
      <c r="R36" s="321"/>
      <c r="S36" s="321"/>
      <c r="T36" s="321"/>
      <c r="U36" s="321"/>
      <c r="V36" s="321"/>
      <c r="W36" s="321"/>
      <c r="X36" s="321"/>
      <c r="Y36" s="321"/>
      <c r="Z36" s="321"/>
      <c r="AA36" s="321"/>
      <c r="AB36" s="321"/>
      <c r="AC36" s="321"/>
      <c r="AD36" s="321"/>
      <c r="AE36" s="322"/>
      <c r="AF36" s="322"/>
      <c r="AG36" s="322"/>
      <c r="AH36" s="322"/>
      <c r="AI36" s="322"/>
      <c r="AJ36" s="322"/>
      <c r="AK36" s="322"/>
      <c r="AL36" s="322"/>
      <c r="AM36" s="322"/>
      <c r="AN36" s="322"/>
      <c r="AO36" s="322"/>
      <c r="AP36" s="338"/>
      <c r="AQ36" s="338"/>
      <c r="AR36" s="338">
        <v>18760.81165164374</v>
      </c>
      <c r="AS36" s="338">
        <v>28355.025564581087</v>
      </c>
      <c r="AT36" s="338">
        <v>30940.694135842801</v>
      </c>
      <c r="AU36" s="338">
        <v>36386.326120502701</v>
      </c>
      <c r="AV36" s="338">
        <v>40310.599146957662</v>
      </c>
      <c r="AW36" s="338">
        <v>40812.566408343984</v>
      </c>
      <c r="AX36" s="338">
        <v>45190.092625999983</v>
      </c>
      <c r="AY36" s="338"/>
      <c r="AZ36" s="338"/>
      <c r="BA36" s="338"/>
      <c r="BB36" s="338"/>
      <c r="BC36" s="338"/>
      <c r="BD36" s="2"/>
      <c r="BE36" s="2"/>
      <c r="BF36" s="2"/>
      <c r="BG36" s="2"/>
      <c r="BH36" s="2"/>
      <c r="BK36" s="2"/>
      <c r="BL36" s="2"/>
      <c r="BM36" s="2"/>
      <c r="BN36" s="2"/>
    </row>
    <row r="37" spans="1:66">
      <c r="A37" s="2" t="s">
        <v>39</v>
      </c>
      <c r="B37" s="321"/>
      <c r="C37" s="321"/>
      <c r="D37" s="321"/>
      <c r="E37" s="321"/>
      <c r="F37" s="321"/>
      <c r="G37" s="321"/>
      <c r="H37" s="321"/>
      <c r="I37" s="321"/>
      <c r="J37" s="321"/>
      <c r="K37" s="321"/>
      <c r="L37" s="321"/>
      <c r="M37" s="321"/>
      <c r="N37" s="321"/>
      <c r="O37" s="321"/>
      <c r="P37" s="321"/>
      <c r="Q37" s="321"/>
      <c r="R37" s="321"/>
      <c r="S37" s="321"/>
      <c r="T37" s="321"/>
      <c r="U37" s="321"/>
      <c r="V37" s="321"/>
      <c r="W37" s="321"/>
      <c r="X37" s="321"/>
      <c r="Y37" s="321"/>
      <c r="Z37" s="321"/>
      <c r="AA37" s="321"/>
      <c r="AB37" s="321"/>
      <c r="AC37" s="321"/>
      <c r="AD37" s="321"/>
      <c r="AE37" s="322"/>
      <c r="AF37" s="322"/>
      <c r="AG37" s="322"/>
      <c r="AH37" s="322"/>
      <c r="AI37" s="322"/>
      <c r="AJ37" s="322"/>
      <c r="AK37" s="322"/>
      <c r="AL37" s="322"/>
      <c r="AM37" s="322"/>
      <c r="AN37" s="322"/>
      <c r="AO37" s="322"/>
      <c r="AP37" s="337"/>
      <c r="AQ37" s="337"/>
      <c r="AR37" s="337">
        <v>29037.67337424578</v>
      </c>
      <c r="AS37" s="337">
        <v>25557.680616848622</v>
      </c>
      <c r="AT37" s="337">
        <v>36085.710373217546</v>
      </c>
      <c r="AU37" s="337">
        <v>38452.289661312308</v>
      </c>
      <c r="AV37" s="337">
        <v>63793.401411513245</v>
      </c>
      <c r="AW37" s="337">
        <v>66470.989126067885</v>
      </c>
      <c r="AX37" s="337">
        <v>78289.521208909544</v>
      </c>
      <c r="AY37" s="337"/>
      <c r="AZ37" s="337"/>
      <c r="BA37" s="337"/>
      <c r="BB37" s="337"/>
      <c r="BC37" s="337"/>
      <c r="BD37" s="2"/>
      <c r="BE37" s="2"/>
      <c r="BF37" s="2"/>
      <c r="BG37" s="2"/>
      <c r="BH37" s="2"/>
      <c r="BK37" s="2"/>
      <c r="BL37" s="2"/>
      <c r="BM37" s="2"/>
      <c r="BN37" s="2"/>
    </row>
    <row r="38" spans="1:66">
      <c r="A38" s="2" t="s">
        <v>345</v>
      </c>
      <c r="B38" s="321"/>
      <c r="C38" s="321"/>
      <c r="D38" s="321"/>
      <c r="E38" s="321"/>
      <c r="F38" s="321"/>
      <c r="G38" s="321"/>
      <c r="H38" s="321"/>
      <c r="I38" s="321"/>
      <c r="J38" s="321"/>
      <c r="K38" s="321"/>
      <c r="L38" s="321"/>
      <c r="M38" s="321"/>
      <c r="N38" s="321"/>
      <c r="O38" s="321"/>
      <c r="P38" s="321"/>
      <c r="Q38" s="321"/>
      <c r="R38" s="321"/>
      <c r="S38" s="321"/>
      <c r="T38" s="321"/>
      <c r="U38" s="321"/>
      <c r="V38" s="321"/>
      <c r="W38" s="321"/>
      <c r="X38" s="321"/>
      <c r="Y38" s="321"/>
      <c r="Z38" s="321"/>
      <c r="AA38" s="321"/>
      <c r="AB38" s="321"/>
      <c r="AC38" s="321"/>
      <c r="AD38" s="321"/>
      <c r="AE38" s="322"/>
      <c r="AF38" s="322"/>
      <c r="AG38" s="322"/>
      <c r="AH38" s="322"/>
      <c r="AI38" s="322"/>
      <c r="AJ38" s="322"/>
      <c r="AK38" s="322"/>
      <c r="AL38" s="322"/>
      <c r="AM38" s="322"/>
      <c r="AN38" s="322"/>
      <c r="AO38" s="322"/>
      <c r="AP38" s="337"/>
      <c r="AQ38" s="337"/>
      <c r="AR38" s="337">
        <v>49924.802981606255</v>
      </c>
      <c r="AS38" s="337">
        <v>63041.583782053189</v>
      </c>
      <c r="AT38" s="337">
        <v>56581.121138052738</v>
      </c>
      <c r="AU38" s="337">
        <v>60283.872525433493</v>
      </c>
      <c r="AV38" s="337">
        <v>40327.915457522628</v>
      </c>
      <c r="AW38" s="337">
        <v>38755.987688527355</v>
      </c>
      <c r="AX38" s="337">
        <v>33375.413078090438</v>
      </c>
      <c r="AY38" s="337"/>
      <c r="AZ38" s="337"/>
      <c r="BA38" s="337"/>
      <c r="BB38" s="337"/>
      <c r="BC38" s="337"/>
      <c r="BD38" s="2"/>
      <c r="BE38" s="2"/>
      <c r="BF38" s="2"/>
      <c r="BG38" s="2"/>
      <c r="BH38" s="2"/>
      <c r="BK38" s="2"/>
      <c r="BL38" s="2"/>
      <c r="BM38" s="2"/>
      <c r="BN38" s="2"/>
    </row>
    <row r="39" spans="1:66">
      <c r="A39" s="2" t="s">
        <v>346</v>
      </c>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14"/>
      <c r="AF39" s="14"/>
      <c r="AG39" s="14"/>
      <c r="AH39" s="14"/>
      <c r="AI39" s="14"/>
      <c r="AJ39" s="14"/>
      <c r="AK39" s="14"/>
      <c r="AL39" s="14"/>
      <c r="AM39" s="14"/>
      <c r="AN39" s="14"/>
      <c r="AO39" s="14"/>
      <c r="AP39" s="337"/>
      <c r="AQ39" s="337"/>
      <c r="AR39" s="337">
        <v>2748944.8188151577</v>
      </c>
      <c r="AS39" s="337">
        <v>2748347.8667271798</v>
      </c>
      <c r="AT39" s="337">
        <v>2781062.3570274115</v>
      </c>
      <c r="AU39" s="337">
        <v>3251227.4428232322</v>
      </c>
      <c r="AV39" s="337">
        <v>3315857.7724362318</v>
      </c>
      <c r="AW39" s="337">
        <v>3359361.2637930005</v>
      </c>
      <c r="AX39" s="337">
        <v>3402059.8620820004</v>
      </c>
      <c r="AY39" s="337"/>
      <c r="AZ39" s="337"/>
      <c r="BA39" s="337"/>
      <c r="BB39" s="337"/>
      <c r="BC39" s="337"/>
      <c r="BD39" s="2"/>
      <c r="BE39" s="2"/>
      <c r="BF39" s="2"/>
      <c r="BG39" s="2"/>
      <c r="BH39" s="2"/>
      <c r="BK39" s="2"/>
      <c r="BL39" s="2"/>
      <c r="BM39" s="2"/>
      <c r="BN39" s="2"/>
    </row>
    <row r="40" spans="1:66">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2"/>
      <c r="BE40" s="2"/>
      <c r="BF40" s="2"/>
      <c r="BG40" s="2"/>
      <c r="BH40" s="2"/>
      <c r="BK40" s="2"/>
      <c r="BL40" s="2"/>
      <c r="BM40" s="2"/>
      <c r="BN40" s="2"/>
    </row>
    <row r="41" spans="1:66">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2"/>
      <c r="BE41" s="2"/>
      <c r="BF41" s="2"/>
      <c r="BG41" s="2"/>
      <c r="BH41" s="2"/>
      <c r="BK41" s="2"/>
      <c r="BL41" s="2"/>
      <c r="BM41" s="2"/>
      <c r="BN41" s="2"/>
    </row>
    <row r="42" spans="1:66">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2"/>
      <c r="BE42" s="2"/>
      <c r="BF42" s="2"/>
      <c r="BG42" s="2"/>
      <c r="BH42" s="2"/>
      <c r="BK42" s="2"/>
      <c r="BL42" s="2"/>
      <c r="BM42" s="2"/>
      <c r="BN42" s="2"/>
    </row>
    <row r="43" spans="1:66">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2"/>
      <c r="BE43" s="2"/>
      <c r="BF43" s="2"/>
      <c r="BG43" s="2"/>
      <c r="BH43" s="2"/>
      <c r="BK43" s="2"/>
      <c r="BL43" s="2"/>
      <c r="BM43" s="2"/>
      <c r="BN43" s="2"/>
    </row>
    <row r="44" spans="1:66">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2"/>
      <c r="BE44" s="2"/>
      <c r="BF44" s="2"/>
      <c r="BG44" s="2"/>
      <c r="BH44" s="2"/>
      <c r="BK44" s="2"/>
      <c r="BL44" s="2"/>
      <c r="BM44" s="2"/>
      <c r="BN44" s="2"/>
    </row>
    <row r="45" spans="1:66">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2"/>
      <c r="BE45" s="2"/>
      <c r="BF45" s="2"/>
      <c r="BG45" s="2"/>
      <c r="BH45" s="2"/>
      <c r="BK45" s="2"/>
      <c r="BL45" s="2"/>
      <c r="BM45" s="2"/>
      <c r="BN45" s="2"/>
    </row>
    <row r="46" spans="1:66">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2"/>
      <c r="BE46" s="2"/>
      <c r="BF46" s="2"/>
      <c r="BG46" s="2"/>
      <c r="BH46" s="2"/>
      <c r="BK46" s="2"/>
      <c r="BL46" s="2"/>
      <c r="BM46" s="2"/>
      <c r="BN46" s="2"/>
    </row>
    <row r="47" spans="1:66">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2"/>
      <c r="BE47" s="2"/>
      <c r="BF47" s="2"/>
      <c r="BG47" s="2"/>
      <c r="BH47" s="2"/>
      <c r="BK47" s="2"/>
      <c r="BL47" s="2"/>
      <c r="BM47" s="2"/>
      <c r="BN47" s="2"/>
    </row>
    <row r="48" spans="1:66">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2"/>
      <c r="BE48" s="2"/>
      <c r="BF48" s="2"/>
      <c r="BG48" s="2"/>
      <c r="BH48" s="2"/>
      <c r="BK48" s="2"/>
      <c r="BL48" s="2"/>
      <c r="BM48" s="2"/>
      <c r="BN48" s="2"/>
    </row>
    <row r="49" spans="1:66">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2"/>
      <c r="BE49" s="2"/>
      <c r="BF49" s="2"/>
      <c r="BG49" s="2"/>
      <c r="BH49" s="2"/>
      <c r="BK49" s="2"/>
      <c r="BL49" s="2"/>
      <c r="BM49" s="2"/>
      <c r="BN49" s="2"/>
    </row>
  </sheetData>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N140"/>
  <sheetViews>
    <sheetView showGridLines="0" zoomScale="70" zoomScaleNormal="70" workbookViewId="0">
      <pane xSplit="1" ySplit="1" topLeftCell="AR44" activePane="bottomRight" state="frozen"/>
      <selection activeCell="BA80" sqref="BA80"/>
      <selection pane="topRight" activeCell="BA80" sqref="BA80"/>
      <selection pane="bottomLeft" activeCell="BA80" sqref="BA80"/>
      <selection pane="bottomRight" activeCell="BC6" sqref="BC6"/>
    </sheetView>
  </sheetViews>
  <sheetFormatPr defaultColWidth="9.234375" defaultRowHeight="15.35"/>
  <cols>
    <col min="1" max="1" width="48.76171875" style="6" customWidth="1"/>
    <col min="2" max="2" width="12.41015625" style="6" bestFit="1" customWidth="1"/>
    <col min="3" max="6" width="11" style="6" bestFit="1" customWidth="1"/>
    <col min="7" max="10" width="11.52734375" style="6" bestFit="1" customWidth="1"/>
    <col min="11" max="11" width="11" style="6" bestFit="1" customWidth="1"/>
    <col min="12" max="15" width="11.52734375" style="6" bestFit="1" customWidth="1"/>
    <col min="16" max="16" width="11" style="6" bestFit="1" customWidth="1"/>
    <col min="17" max="17" width="11.52734375" style="6" bestFit="1" customWidth="1"/>
    <col min="18" max="18" width="21.234375" style="6" bestFit="1" customWidth="1"/>
    <col min="19" max="20" width="11.52734375" style="6" bestFit="1" customWidth="1"/>
    <col min="21" max="21" width="11" style="6" bestFit="1" customWidth="1"/>
    <col min="22" max="30" width="11.52734375" style="6" bestFit="1" customWidth="1"/>
    <col min="31" max="34" width="11.52734375" style="21" bestFit="1" customWidth="1"/>
    <col min="35" max="35" width="11.76171875" style="21" bestFit="1" customWidth="1"/>
    <col min="36" max="42" width="11.52734375" style="21" bestFit="1" customWidth="1"/>
    <col min="43" max="43" width="11.76171875" style="21" bestFit="1" customWidth="1"/>
    <col min="44" max="45" width="12.234375" style="21" bestFit="1" customWidth="1"/>
    <col min="46" max="55" width="11.76171875" style="21" bestFit="1" customWidth="1"/>
    <col min="56" max="56" width="7.234375" style="6" bestFit="1" customWidth="1"/>
    <col min="57" max="57" width="92.76171875" style="6" bestFit="1" customWidth="1"/>
    <col min="58" max="16384" width="9.234375" style="6"/>
  </cols>
  <sheetData>
    <row r="1" spans="1:58" s="30" customFormat="1">
      <c r="A1" s="508" t="s">
        <v>27</v>
      </c>
      <c r="B1" s="518" t="s">
        <v>0</v>
      </c>
      <c r="C1" s="518" t="s">
        <v>1</v>
      </c>
      <c r="D1" s="518" t="s">
        <v>2</v>
      </c>
      <c r="E1" s="516" t="str">
        <f>'Reported Group Profit and Loss'!E1</f>
        <v>4Q12</v>
      </c>
      <c r="F1" s="516" t="str">
        <f>'Reported Group Profit and Loss'!F1</f>
        <v>1Q13</v>
      </c>
      <c r="G1" s="516" t="str">
        <f>'Reported Group Profit and Loss'!G1</f>
        <v>2Q13</v>
      </c>
      <c r="H1" s="516" t="str">
        <f>'Reported Group Profit and Loss'!H1</f>
        <v>3Q13</v>
      </c>
      <c r="I1" s="516" t="str">
        <f>'Reported Group Profit and Loss'!I1</f>
        <v>4Q13</v>
      </c>
      <c r="J1" s="516" t="str">
        <f>'Reported Group Profit and Loss'!J1</f>
        <v>1Q14</v>
      </c>
      <c r="K1" s="516" t="str">
        <f>'Reported Group Profit and Loss'!K1</f>
        <v>2Q14</v>
      </c>
      <c r="L1" s="516" t="str">
        <f>'Reported Group Profit and Loss'!L1</f>
        <v>3Q14</v>
      </c>
      <c r="M1" s="516" t="str">
        <f>'Reported Group Profit and Loss'!M1</f>
        <v>4Q14</v>
      </c>
      <c r="N1" s="516" t="str">
        <f>'Reported Group Profit and Loss'!N1</f>
        <v>1Q15</v>
      </c>
      <c r="O1" s="516" t="str">
        <f>'Reported Group Profit and Loss'!O1</f>
        <v>2Q15</v>
      </c>
      <c r="P1" s="516" t="str">
        <f>'Reported Group Profit and Loss'!P1</f>
        <v>3Q15</v>
      </c>
      <c r="Q1" s="516" t="str">
        <f>'Reported Group Profit and Loss'!Q1</f>
        <v>4Q15</v>
      </c>
      <c r="R1" s="516" t="str">
        <f>'Reported Group Profit and Loss'!R1</f>
        <v>1Q16</v>
      </c>
      <c r="S1" s="516" t="str">
        <f>'Reported Group Profit and Loss'!S1</f>
        <v>2Q16</v>
      </c>
      <c r="T1" s="516" t="str">
        <f>'Reported Group Profit and Loss'!T1</f>
        <v>3Q16</v>
      </c>
      <c r="U1" s="516" t="str">
        <f>'Reported Group Profit and Loss'!U1</f>
        <v>4Q16</v>
      </c>
      <c r="V1" s="516" t="str">
        <f>'Reported Group Profit and Loss'!V1</f>
        <v>1Q17</v>
      </c>
      <c r="W1" s="516" t="str">
        <f>'Reported Group Profit and Loss'!W1</f>
        <v>2Q17</v>
      </c>
      <c r="X1" s="516" t="str">
        <f>'Reported Group Profit and Loss'!X1</f>
        <v>3Q17</v>
      </c>
      <c r="Y1" s="516" t="str">
        <f>'Reported Group Profit and Loss'!Y1</f>
        <v>4Q17</v>
      </c>
      <c r="Z1" s="516" t="str">
        <f>'Reported Group Profit and Loss'!Z1</f>
        <v>1Q18</v>
      </c>
      <c r="AA1" s="516" t="str">
        <f>'Reported Group Profit and Loss'!AA1</f>
        <v>2Q18</v>
      </c>
      <c r="AB1" s="516" t="str">
        <f>'Reported Group Profit and Loss'!AB1</f>
        <v>3Q18</v>
      </c>
      <c r="AC1" s="516" t="str">
        <f>'Reported Group Profit and Loss'!AC1</f>
        <v>4Q18</v>
      </c>
      <c r="AD1" s="516" t="str">
        <f>'Reported Group Profit and Loss'!AD1</f>
        <v>1Q19</v>
      </c>
      <c r="AE1" s="516" t="str">
        <f>'Reported Group Profit and Loss'!AE1</f>
        <v>2Q19</v>
      </c>
      <c r="AF1" s="516" t="str">
        <f>'Reported Group Profit and Loss'!AF1</f>
        <v>3Q19</v>
      </c>
      <c r="AG1" s="516" t="str">
        <f>'Reported Group Profit and Loss'!AG1</f>
        <v>4Q19</v>
      </c>
      <c r="AH1" s="516" t="str">
        <f>'Reported Group Profit and Loss'!AH1</f>
        <v>1Q20</v>
      </c>
      <c r="AI1" s="516" t="str">
        <f>'Reported Group Profit and Loss'!AI1</f>
        <v>2Q20</v>
      </c>
      <c r="AJ1" s="516" t="str">
        <f>'Reported Group Profit and Loss'!AJ1</f>
        <v>3Q20</v>
      </c>
      <c r="AK1" s="516" t="str">
        <f>'Reported Group Profit and Loss'!AK1</f>
        <v>4Q20</v>
      </c>
      <c r="AL1" s="516" t="str">
        <f>'Reported Group Profit and Loss'!AL1</f>
        <v>1Q21</v>
      </c>
      <c r="AM1" s="516" t="str">
        <f>'Reported Group Profit and Loss'!AM1</f>
        <v>2Q21</v>
      </c>
      <c r="AN1" s="516" t="str">
        <f>'Reported Group Profit and Loss'!AN1</f>
        <v>3Q21</v>
      </c>
      <c r="AO1" s="516" t="str">
        <f>'Reported Group Profit and Loss'!AO1</f>
        <v>4Q21</v>
      </c>
      <c r="AP1" s="516" t="str">
        <f>'Reported Group Profit and Loss'!AP1</f>
        <v>1Q22</v>
      </c>
      <c r="AQ1" s="516" t="str">
        <f>'Reported Group Profit and Loss'!AQ1</f>
        <v>2Q22</v>
      </c>
      <c r="AR1" s="516" t="str">
        <f>'Reported Group Profit and Loss'!AR1</f>
        <v>3Q22</v>
      </c>
      <c r="AS1" s="516" t="str">
        <f>'Reported Group Profit and Loss'!AS1</f>
        <v>4Q22</v>
      </c>
      <c r="AT1" s="516" t="str">
        <f>'Reported Group Profit and Loss'!AT1</f>
        <v>1Q23</v>
      </c>
      <c r="AU1" s="516" t="str">
        <f>'Reported Group Profit and Loss'!AU1</f>
        <v>2Q23</v>
      </c>
      <c r="AV1" s="516" t="str">
        <f>'Reported Group Profit and Loss'!AV1</f>
        <v>3Q23</v>
      </c>
      <c r="AW1" s="516" t="str">
        <f>'Reported Group Profit and Loss'!AW1</f>
        <v>4Q23</v>
      </c>
      <c r="AX1" s="516" t="str">
        <f>'Reported Group Profit and Loss'!AX1</f>
        <v>1Q24</v>
      </c>
      <c r="AY1" s="516" t="str">
        <f>'Reported Group Profit and Loss'!AY1</f>
        <v>2Q24</v>
      </c>
      <c r="AZ1" s="516" t="str">
        <f>'Reported Group Profit and Loss'!AZ1</f>
        <v>3Q24</v>
      </c>
      <c r="BA1" s="516" t="str">
        <f>'Reported Group Profit and Loss'!BA1</f>
        <v>4Q24</v>
      </c>
      <c r="BB1" s="516" t="str">
        <f>'Reported Group Profit and Loss'!BB1</f>
        <v>1Q25</v>
      </c>
      <c r="BC1" s="516" t="str">
        <f>'Reported Group Profit and Loss'!BC1</f>
        <v>2Q25</v>
      </c>
      <c r="BD1" s="508"/>
      <c r="BE1" s="508" t="s">
        <v>209</v>
      </c>
      <c r="BF1" s="13"/>
    </row>
    <row r="2" spans="1:58" s="30" customFormat="1">
      <c r="A2" s="508" t="s">
        <v>206</v>
      </c>
      <c r="B2" s="518"/>
      <c r="C2" s="518"/>
      <c r="D2" s="518"/>
      <c r="E2" s="518"/>
      <c r="F2" s="518"/>
      <c r="G2" s="518"/>
      <c r="H2" s="518"/>
      <c r="I2" s="518"/>
      <c r="J2" s="518"/>
      <c r="K2" s="518"/>
      <c r="L2" s="518"/>
      <c r="M2" s="518"/>
      <c r="N2" s="518"/>
      <c r="O2" s="518"/>
      <c r="P2" s="518"/>
      <c r="Q2" s="518"/>
      <c r="R2" s="518"/>
      <c r="S2" s="518"/>
      <c r="T2" s="518"/>
      <c r="U2" s="518"/>
      <c r="V2" s="518"/>
      <c r="W2" s="518"/>
      <c r="X2" s="518"/>
      <c r="Y2" s="518"/>
      <c r="Z2" s="518"/>
      <c r="AA2" s="518"/>
      <c r="AB2" s="518"/>
      <c r="AC2" s="518"/>
      <c r="AD2" s="518"/>
      <c r="AE2" s="516"/>
      <c r="AF2" s="516"/>
      <c r="AG2" s="516"/>
      <c r="AH2" s="516"/>
      <c r="AI2" s="516"/>
      <c r="AJ2" s="516"/>
      <c r="AK2" s="516"/>
      <c r="AL2" s="516"/>
      <c r="AM2" s="516"/>
      <c r="AN2" s="516"/>
      <c r="AO2" s="516"/>
      <c r="AP2" s="516"/>
      <c r="AQ2" s="516"/>
      <c r="AR2" s="520"/>
      <c r="AS2" s="520"/>
      <c r="AT2" s="520"/>
      <c r="AU2" s="520"/>
      <c r="AV2" s="520"/>
      <c r="AW2" s="520"/>
      <c r="AX2" s="520"/>
      <c r="AY2" s="520"/>
      <c r="AZ2" s="520"/>
      <c r="BA2" s="520"/>
      <c r="BB2" s="520"/>
      <c r="BC2" s="520"/>
      <c r="BD2" s="508"/>
      <c r="BE2" s="508"/>
      <c r="BF2" s="13"/>
    </row>
    <row r="3" spans="1:58">
      <c r="A3" s="2"/>
      <c r="B3" s="321"/>
      <c r="C3" s="321"/>
      <c r="D3" s="321"/>
      <c r="E3" s="321"/>
      <c r="F3" s="321"/>
      <c r="G3" s="321"/>
      <c r="H3" s="321"/>
      <c r="I3" s="321"/>
      <c r="J3" s="321"/>
      <c r="K3" s="321"/>
      <c r="L3" s="321"/>
      <c r="M3" s="321"/>
      <c r="N3" s="321"/>
      <c r="O3" s="321"/>
      <c r="P3" s="321"/>
      <c r="Q3" s="321"/>
      <c r="R3" s="321"/>
      <c r="S3" s="321"/>
      <c r="T3" s="321"/>
      <c r="U3" s="321"/>
      <c r="V3" s="321"/>
      <c r="W3" s="321"/>
      <c r="X3" s="321"/>
      <c r="Y3" s="321"/>
      <c r="Z3" s="321"/>
      <c r="AA3" s="321"/>
      <c r="AB3" s="321"/>
      <c r="AC3" s="321"/>
      <c r="AD3" s="321"/>
      <c r="AE3" s="322"/>
      <c r="AF3" s="322"/>
      <c r="AG3" s="322"/>
      <c r="AH3" s="322"/>
      <c r="AI3" s="322"/>
      <c r="AJ3" s="322"/>
      <c r="AK3" s="322"/>
      <c r="AL3" s="322"/>
      <c r="AM3" s="322"/>
      <c r="AN3" s="322"/>
      <c r="AO3" s="322"/>
      <c r="AP3" s="322"/>
      <c r="AQ3" s="322"/>
      <c r="AR3" s="14"/>
      <c r="AS3" s="14"/>
      <c r="AT3" s="14"/>
      <c r="AU3" s="14"/>
      <c r="AV3" s="14"/>
      <c r="AW3" s="14"/>
      <c r="AX3" s="14"/>
      <c r="AY3" s="14"/>
      <c r="AZ3" s="14"/>
      <c r="BA3" s="14"/>
      <c r="BB3" s="14"/>
      <c r="BC3" s="14"/>
      <c r="BD3" s="2"/>
      <c r="BE3" s="2"/>
      <c r="BF3" s="2"/>
    </row>
    <row r="4" spans="1:58" s="30" customFormat="1">
      <c r="A4" s="508" t="s">
        <v>29</v>
      </c>
      <c r="B4" s="518"/>
      <c r="C4" s="518"/>
      <c r="D4" s="518"/>
      <c r="E4" s="518"/>
      <c r="F4" s="518"/>
      <c r="G4" s="518"/>
      <c r="H4" s="518"/>
      <c r="I4" s="518"/>
      <c r="J4" s="518"/>
      <c r="K4" s="518"/>
      <c r="L4" s="518"/>
      <c r="M4" s="518"/>
      <c r="N4" s="518"/>
      <c r="O4" s="518"/>
      <c r="P4" s="518"/>
      <c r="Q4" s="518"/>
      <c r="R4" s="518"/>
      <c r="S4" s="518"/>
      <c r="T4" s="518"/>
      <c r="U4" s="518"/>
      <c r="V4" s="518"/>
      <c r="W4" s="518"/>
      <c r="X4" s="518"/>
      <c r="Y4" s="518"/>
      <c r="Z4" s="518"/>
      <c r="AA4" s="518"/>
      <c r="AB4" s="518"/>
      <c r="AC4" s="518"/>
      <c r="AD4" s="518"/>
      <c r="AE4" s="516"/>
      <c r="AF4" s="516"/>
      <c r="AG4" s="516"/>
      <c r="AH4" s="516"/>
      <c r="AI4" s="516"/>
      <c r="AJ4" s="516"/>
      <c r="AK4" s="516"/>
      <c r="AL4" s="516"/>
      <c r="AM4" s="516"/>
      <c r="AN4" s="516"/>
      <c r="AO4" s="516"/>
      <c r="AP4" s="516"/>
      <c r="AQ4" s="516"/>
      <c r="AR4" s="520"/>
      <c r="AS4" s="520"/>
      <c r="AT4" s="520"/>
      <c r="AU4" s="520"/>
      <c r="AV4" s="520"/>
      <c r="AW4" s="520"/>
      <c r="AX4" s="520"/>
      <c r="AY4" s="520"/>
      <c r="AZ4" s="520"/>
      <c r="BA4" s="520"/>
      <c r="BB4" s="520"/>
      <c r="BC4" s="520"/>
      <c r="BD4" s="508"/>
      <c r="BE4" s="508"/>
      <c r="BF4" s="13"/>
    </row>
    <row r="5" spans="1:58" s="30" customFormat="1">
      <c r="A5" s="13"/>
      <c r="B5" s="391" t="s">
        <v>188</v>
      </c>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2"/>
      <c r="AF5" s="392"/>
      <c r="AG5" s="392"/>
      <c r="AH5" s="392"/>
      <c r="AI5" s="392"/>
      <c r="AJ5" s="392"/>
      <c r="AK5" s="392"/>
      <c r="AL5" s="392"/>
      <c r="AM5" s="392"/>
      <c r="AN5" s="392"/>
      <c r="AO5" s="392"/>
      <c r="AP5" s="392"/>
      <c r="AQ5" s="392"/>
      <c r="AR5" s="99"/>
      <c r="AS5" s="99"/>
      <c r="AT5" s="99"/>
      <c r="AU5" s="99"/>
      <c r="AV5" s="99"/>
      <c r="AW5" s="99"/>
      <c r="AX5" s="99"/>
      <c r="AY5" s="99"/>
      <c r="AZ5" s="99"/>
      <c r="BA5" s="99"/>
      <c r="BB5" s="99"/>
      <c r="BC5" s="99"/>
      <c r="BD5" s="13"/>
      <c r="BE5" s="13"/>
      <c r="BF5" s="13"/>
    </row>
    <row r="6" spans="1:58">
      <c r="A6" s="2" t="s">
        <v>750</v>
      </c>
      <c r="B6" s="348">
        <v>9457</v>
      </c>
      <c r="C6" s="348">
        <v>9528</v>
      </c>
      <c r="D6" s="348">
        <v>9128</v>
      </c>
      <c r="E6" s="348">
        <v>9158.8716390000009</v>
      </c>
      <c r="F6" s="348">
        <v>9441.5940649999993</v>
      </c>
      <c r="G6" s="348">
        <v>9529.3887610000002</v>
      </c>
      <c r="H6" s="348">
        <v>9565.6695649999965</v>
      </c>
      <c r="I6" s="348">
        <v>9620.6919140000045</v>
      </c>
      <c r="J6" s="348">
        <v>9483.5699540000005</v>
      </c>
      <c r="K6" s="348">
        <v>9756.826189999998</v>
      </c>
      <c r="L6" s="348">
        <v>9869.3760700000039</v>
      </c>
      <c r="M6" s="348">
        <v>10242.137607999995</v>
      </c>
      <c r="N6" s="348">
        <v>10705.123781</v>
      </c>
      <c r="O6" s="348">
        <v>11160.21665</v>
      </c>
      <c r="P6" s="348">
        <v>11170.933230999997</v>
      </c>
      <c r="Q6" s="348">
        <v>11288.243410000005</v>
      </c>
      <c r="R6" s="338">
        <v>5987.0030560000005</v>
      </c>
      <c r="S6" s="338">
        <v>6149.1986480000005</v>
      </c>
      <c r="T6" s="338">
        <v>6342.7955119999979</v>
      </c>
      <c r="U6" s="338">
        <v>6587.2543320000013</v>
      </c>
      <c r="V6" s="338">
        <v>6644.0226409999996</v>
      </c>
      <c r="W6" s="338">
        <v>7063.1588700000011</v>
      </c>
      <c r="X6" s="338">
        <v>7025.4571049999995</v>
      </c>
      <c r="Y6" s="338">
        <v>6785.0173500000037</v>
      </c>
      <c r="Z6" s="338">
        <v>6703.4411549999995</v>
      </c>
      <c r="AA6" s="338">
        <v>6367</v>
      </c>
      <c r="AB6" s="338">
        <v>6152.7651580000029</v>
      </c>
      <c r="AC6" s="337">
        <v>6041.5554939999975</v>
      </c>
      <c r="AD6" s="337">
        <v>5744.8565520000002</v>
      </c>
      <c r="AE6" s="338">
        <v>5607.2733760000001</v>
      </c>
      <c r="AF6" s="337">
        <v>5502.8459069999999</v>
      </c>
      <c r="AG6" s="337">
        <v>5535.5992989999986</v>
      </c>
      <c r="AH6" s="337">
        <v>5704.7095660000005</v>
      </c>
      <c r="AI6" s="337">
        <v>5475</v>
      </c>
      <c r="AJ6" s="337">
        <v>5546.3759500000024</v>
      </c>
      <c r="AK6" s="337">
        <v>5725.1100410000008</v>
      </c>
      <c r="AL6" s="337">
        <v>5785.6427860000003</v>
      </c>
      <c r="AM6" s="337">
        <v>5873.4223299999994</v>
      </c>
      <c r="AN6" s="337">
        <v>5673.778941999999</v>
      </c>
      <c r="AO6" s="337">
        <v>6009.0889880000013</v>
      </c>
      <c r="AP6" s="337">
        <v>6532.6126100000001</v>
      </c>
      <c r="AQ6" s="337">
        <v>7127</v>
      </c>
      <c r="AR6" s="285">
        <v>7968.7393219999976</v>
      </c>
      <c r="AS6" s="285">
        <v>8762.0578490000007</v>
      </c>
      <c r="AT6" s="285">
        <v>9264.5887449999991</v>
      </c>
      <c r="AU6" s="285">
        <v>9898.4133410000031</v>
      </c>
      <c r="AV6" s="285">
        <v>10343.149191</v>
      </c>
      <c r="AW6" s="285">
        <v>10965.960542999997</v>
      </c>
      <c r="AX6" s="285">
        <v>11620.918957</v>
      </c>
      <c r="AY6" s="285">
        <v>12207.437658000001</v>
      </c>
      <c r="AZ6" s="285">
        <v>12718.116070999999</v>
      </c>
      <c r="BA6" s="285">
        <v>13155.006759000004</v>
      </c>
      <c r="BB6" s="285">
        <v>13670</v>
      </c>
      <c r="BC6" s="285">
        <v>14321</v>
      </c>
      <c r="BD6" s="15"/>
      <c r="BE6" s="2"/>
      <c r="BF6" s="2"/>
    </row>
    <row r="7" spans="1:58">
      <c r="A7" s="2" t="s">
        <v>752</v>
      </c>
      <c r="B7" s="348">
        <v>4304</v>
      </c>
      <c r="C7" s="348">
        <v>4213</v>
      </c>
      <c r="D7" s="348">
        <v>3542</v>
      </c>
      <c r="E7" s="348">
        <v>3776.7944000000025</v>
      </c>
      <c r="F7" s="348">
        <v>3809.3204489999998</v>
      </c>
      <c r="G7" s="348">
        <v>4039.1730609999995</v>
      </c>
      <c r="H7" s="348">
        <v>4165.1191289999997</v>
      </c>
      <c r="I7" s="348">
        <v>4190.5497269999951</v>
      </c>
      <c r="J7" s="348">
        <v>3764.2675820000009</v>
      </c>
      <c r="K7" s="348">
        <v>3616.8733799999977</v>
      </c>
      <c r="L7" s="348">
        <v>3573.8894090000008</v>
      </c>
      <c r="M7" s="348">
        <v>3816.2416910000061</v>
      </c>
      <c r="N7" s="348">
        <v>3946.572290999999</v>
      </c>
      <c r="O7" s="348">
        <v>4505.7918777819723</v>
      </c>
      <c r="P7" s="348">
        <v>4407.0797249752013</v>
      </c>
      <c r="Q7" s="348">
        <v>5165.0276656242731</v>
      </c>
      <c r="R7" s="338">
        <v>2521.311686</v>
      </c>
      <c r="S7" s="338">
        <v>2618.2445200000029</v>
      </c>
      <c r="T7" s="338">
        <v>2710.5299309999955</v>
      </c>
      <c r="U7" s="338">
        <v>2797.8141239999986</v>
      </c>
      <c r="V7" s="338">
        <v>2914.141004999999</v>
      </c>
      <c r="W7" s="338">
        <v>3347.347247000002</v>
      </c>
      <c r="X7" s="338">
        <v>3413.6454699999981</v>
      </c>
      <c r="Y7" s="338">
        <v>3322.889703000003</v>
      </c>
      <c r="Z7" s="338">
        <v>3014.3476359999995</v>
      </c>
      <c r="AA7" s="338">
        <v>2715</v>
      </c>
      <c r="AB7" s="338">
        <v>3071.8019900000036</v>
      </c>
      <c r="AC7" s="337">
        <v>3001.3863289999954</v>
      </c>
      <c r="AD7" s="337">
        <v>2859.2826810000001</v>
      </c>
      <c r="AE7" s="338">
        <v>2932.341019</v>
      </c>
      <c r="AF7" s="337">
        <v>2583.0922510000005</v>
      </c>
      <c r="AG7" s="337">
        <v>2450.3505079999982</v>
      </c>
      <c r="AH7" s="337">
        <v>2523.984344</v>
      </c>
      <c r="AI7" s="337">
        <v>2471</v>
      </c>
      <c r="AJ7" s="337">
        <v>3302.3405690000022</v>
      </c>
      <c r="AK7" s="337">
        <v>3011.8007570000013</v>
      </c>
      <c r="AL7" s="337">
        <v>3513.7932100000003</v>
      </c>
      <c r="AM7" s="337">
        <v>3424.4684389999989</v>
      </c>
      <c r="AN7" s="337">
        <v>3150.9537069999983</v>
      </c>
      <c r="AO7" s="337">
        <v>3344.5646820000015</v>
      </c>
      <c r="AP7" s="337">
        <v>3229.5170680000001</v>
      </c>
      <c r="AQ7" s="337">
        <v>3779</v>
      </c>
      <c r="AR7" s="285">
        <v>4357.5205129999968</v>
      </c>
      <c r="AS7" s="285">
        <v>4773.5691250000027</v>
      </c>
      <c r="AT7" s="285">
        <v>4927.0859599999994</v>
      </c>
      <c r="AU7" s="285">
        <v>4983.1787260000028</v>
      </c>
      <c r="AV7" s="285">
        <v>5172.8987422755572</v>
      </c>
      <c r="AW7" s="285">
        <v>5526.1887403925384</v>
      </c>
      <c r="AX7" s="285">
        <v>5860.4299759999994</v>
      </c>
      <c r="AY7" s="285">
        <v>6073.4301899999991</v>
      </c>
      <c r="AZ7" s="285">
        <v>6383.5626940000038</v>
      </c>
      <c r="BA7" s="285">
        <v>6565.5190680000014</v>
      </c>
      <c r="BB7" s="285">
        <v>6867</v>
      </c>
      <c r="BC7" s="285">
        <v>7203</v>
      </c>
      <c r="BD7" s="15"/>
      <c r="BE7" s="2"/>
      <c r="BF7" s="2"/>
    </row>
    <row r="8" spans="1:58" s="34" customFormat="1">
      <c r="A8" s="4" t="s">
        <v>342</v>
      </c>
      <c r="B8" s="326"/>
      <c r="C8" s="326"/>
      <c r="D8" s="326"/>
      <c r="E8" s="393">
        <v>0.4123645956471082</v>
      </c>
      <c r="F8" s="393">
        <v>0.40346157892141915</v>
      </c>
      <c r="G8" s="393">
        <v>0.42386486293126469</v>
      </c>
      <c r="H8" s="393">
        <v>0.43542368892187439</v>
      </c>
      <c r="I8" s="393">
        <v>0.43557675107566002</v>
      </c>
      <c r="J8" s="393">
        <v>0.39692516639393799</v>
      </c>
      <c r="K8" s="393">
        <v>0.37070183577801324</v>
      </c>
      <c r="L8" s="393">
        <v>0.36211908267064336</v>
      </c>
      <c r="M8" s="393">
        <v>0.37260207166316445</v>
      </c>
      <c r="N8" s="393">
        <v>0.36866199510972275</v>
      </c>
      <c r="O8" s="393">
        <v>0.4037369541371737</v>
      </c>
      <c r="P8" s="393">
        <v>0.39451312024185192</v>
      </c>
      <c r="Q8" s="393">
        <v>0.45755814062697209</v>
      </c>
      <c r="R8" s="331">
        <v>0.42113085001238054</v>
      </c>
      <c r="S8" s="331">
        <v>0.42578629669925777</v>
      </c>
      <c r="T8" s="331">
        <v>0.42733995221380178</v>
      </c>
      <c r="U8" s="331">
        <v>0.42473145608005319</v>
      </c>
      <c r="V8" s="331">
        <v>0.43861093835185794</v>
      </c>
      <c r="W8" s="331">
        <v>0.47391645984596142</v>
      </c>
      <c r="X8" s="331">
        <v>0.48589656430618805</v>
      </c>
      <c r="Y8" s="331">
        <v>0.48973930818319883</v>
      </c>
      <c r="Z8" s="331">
        <v>0.44967167851568912</v>
      </c>
      <c r="AA8" s="331">
        <v>0.42599999999999999</v>
      </c>
      <c r="AB8" s="331">
        <v>0.49925552351140168</v>
      </c>
      <c r="AC8" s="332">
        <v>0.49679032692503422</v>
      </c>
      <c r="AD8" s="332">
        <v>0.49771176270790896</v>
      </c>
      <c r="AE8" s="331">
        <v>0.52295310436456954</v>
      </c>
      <c r="AF8" s="332">
        <v>0.4694102460172706</v>
      </c>
      <c r="AG8" s="332">
        <v>0.44265315743548345</v>
      </c>
      <c r="AH8" s="332">
        <v>0.44243871047229394</v>
      </c>
      <c r="AI8" s="332">
        <v>0.45100000000000001</v>
      </c>
      <c r="AJ8" s="332">
        <v>0.59540510754594644</v>
      </c>
      <c r="AK8" s="332">
        <v>0.5260686232109405</v>
      </c>
      <c r="AL8" s="332">
        <v>0.60732978857640796</v>
      </c>
      <c r="AM8" s="332">
        <v>0.58304481554283172</v>
      </c>
      <c r="AN8" s="332">
        <v>0.55535362572467295</v>
      </c>
      <c r="AO8" s="332">
        <v>0.55658431563902822</v>
      </c>
      <c r="AP8" s="332">
        <v>0.4943683730849609</v>
      </c>
      <c r="AQ8" s="332">
        <v>0.53</v>
      </c>
      <c r="AR8" s="287">
        <v>0.54682683633153961</v>
      </c>
      <c r="AS8" s="287">
        <v>0.5448000010117261</v>
      </c>
      <c r="AT8" s="287">
        <v>0.53181917682628876</v>
      </c>
      <c r="AU8" s="287">
        <v>0.50343207081071129</v>
      </c>
      <c r="AV8" s="287">
        <v>0.50012802162582259</v>
      </c>
      <c r="AW8" s="287">
        <v>0.50394023567047408</v>
      </c>
      <c r="AX8" s="287">
        <v>0.50430004698293673</v>
      </c>
      <c r="AY8" s="287">
        <v>0.49751883729832919</v>
      </c>
      <c r="AZ8" s="287">
        <v>0.50192675222990613</v>
      </c>
      <c r="BA8" s="287">
        <v>0.49908899237229193</v>
      </c>
      <c r="BB8" s="287">
        <v>0.50234089246525238</v>
      </c>
      <c r="BC8" s="287">
        <v>0.50296766985545704</v>
      </c>
      <c r="BD8" s="39"/>
      <c r="BE8" s="4"/>
      <c r="BF8" s="100"/>
    </row>
    <row r="9" spans="1:58">
      <c r="A9" s="2" t="s">
        <v>38</v>
      </c>
      <c r="B9" s="394"/>
      <c r="C9" s="394"/>
      <c r="D9" s="394"/>
      <c r="E9" s="348">
        <v>1539.9847417368765</v>
      </c>
      <c r="F9" s="348">
        <v>1333.3461907368674</v>
      </c>
      <c r="G9" s="348">
        <v>1802.600374173536</v>
      </c>
      <c r="H9" s="348">
        <v>1642.1713881735341</v>
      </c>
      <c r="I9" s="348">
        <v>1668.8065133001955</v>
      </c>
      <c r="J9" s="348">
        <v>1438.8275507368676</v>
      </c>
      <c r="K9" s="348">
        <v>1403.9191471735326</v>
      </c>
      <c r="L9" s="348">
        <v>1277.5441990896006</v>
      </c>
      <c r="M9" s="348">
        <v>1419.7929490000015</v>
      </c>
      <c r="N9" s="348">
        <v>1755.5879569999997</v>
      </c>
      <c r="O9" s="348">
        <v>2132.1993692016008</v>
      </c>
      <c r="P9" s="348">
        <v>2016.0140169999981</v>
      </c>
      <c r="Q9" s="348">
        <v>2853.0863627609378</v>
      </c>
      <c r="R9" s="338">
        <v>1366.9243300000001</v>
      </c>
      <c r="S9" s="338">
        <v>1385.8693630000032</v>
      </c>
      <c r="T9" s="338">
        <v>1397.0733829999951</v>
      </c>
      <c r="U9" s="338">
        <v>1531.9131379999988</v>
      </c>
      <c r="V9" s="338">
        <v>1613.983655999999</v>
      </c>
      <c r="W9" s="338">
        <v>1634.0205750000018</v>
      </c>
      <c r="X9" s="338">
        <v>1940.8074289999986</v>
      </c>
      <c r="Y9" s="338">
        <v>1678.9077990000033</v>
      </c>
      <c r="Z9" s="338">
        <v>1349.5502439999993</v>
      </c>
      <c r="AA9" s="338">
        <v>1089</v>
      </c>
      <c r="AB9" s="338">
        <v>1129.3021970000034</v>
      </c>
      <c r="AC9" s="337">
        <v>1149.310424999994</v>
      </c>
      <c r="AD9" s="337">
        <v>1026.2958870000002</v>
      </c>
      <c r="AE9" s="338">
        <v>1082.6035769999999</v>
      </c>
      <c r="AF9" s="337">
        <v>734.04862499999945</v>
      </c>
      <c r="AG9" s="337">
        <v>486.76958899999863</v>
      </c>
      <c r="AH9" s="337">
        <v>1034.4252719999999</v>
      </c>
      <c r="AI9" s="337">
        <v>1233</v>
      </c>
      <c r="AJ9" s="337">
        <v>1094.1661080000017</v>
      </c>
      <c r="AK9" s="337">
        <v>1767.596555000001</v>
      </c>
      <c r="AL9" s="337">
        <v>1584.1782830000002</v>
      </c>
      <c r="AM9" s="337">
        <v>1417.7625399999993</v>
      </c>
      <c r="AN9" s="337">
        <v>961.11901499999794</v>
      </c>
      <c r="AO9" s="337">
        <v>1239.6296830000024</v>
      </c>
      <c r="AP9" s="337">
        <v>945.81017399999973</v>
      </c>
      <c r="AQ9" s="337">
        <v>1252</v>
      </c>
      <c r="AR9" s="285">
        <v>1640.157331999997</v>
      </c>
      <c r="AS9" s="285">
        <v>1928.3942430000025</v>
      </c>
      <c r="AT9" s="285">
        <v>1765.9912779999995</v>
      </c>
      <c r="AU9" s="285">
        <v>2203.2098320000032</v>
      </c>
      <c r="AV9" s="285">
        <v>2277.3617666568498</v>
      </c>
      <c r="AW9" s="285">
        <v>2684.5546183745419</v>
      </c>
      <c r="AX9" s="285">
        <v>2852.0111869999992</v>
      </c>
      <c r="AY9" s="285">
        <v>2895.4156509999993</v>
      </c>
      <c r="AZ9" s="285">
        <v>3008.8914510000041</v>
      </c>
      <c r="BA9" s="285">
        <v>3261.4039090000015</v>
      </c>
      <c r="BB9" s="285">
        <v>3481</v>
      </c>
      <c r="BC9" s="285">
        <v>3385</v>
      </c>
      <c r="BD9" s="15"/>
      <c r="BE9" s="2"/>
      <c r="BF9" s="2"/>
    </row>
    <row r="10" spans="1:58">
      <c r="A10" s="2" t="s">
        <v>39</v>
      </c>
      <c r="B10" s="348">
        <v>3113</v>
      </c>
      <c r="C10" s="348">
        <v>1348</v>
      </c>
      <c r="D10" s="348">
        <v>2444</v>
      </c>
      <c r="E10" s="348">
        <v>1495.5753749999972</v>
      </c>
      <c r="F10" s="348">
        <v>2081.2886459999995</v>
      </c>
      <c r="G10" s="348">
        <v>1491.7095910000005</v>
      </c>
      <c r="H10" s="348">
        <v>2244.1348960000009</v>
      </c>
      <c r="I10" s="348">
        <v>2249.7280480000018</v>
      </c>
      <c r="J10" s="348">
        <v>659.87662400000011</v>
      </c>
      <c r="K10" s="348">
        <v>810.28369499999951</v>
      </c>
      <c r="L10" s="348">
        <v>823.45740000000012</v>
      </c>
      <c r="M10" s="348">
        <v>1932.3419860000004</v>
      </c>
      <c r="N10" s="348">
        <v>688.96128500000009</v>
      </c>
      <c r="O10" s="348">
        <v>1028.615309</v>
      </c>
      <c r="P10" s="348">
        <v>1678.9307580000007</v>
      </c>
      <c r="Q10" s="348">
        <v>1671.6144150000011</v>
      </c>
      <c r="R10" s="338">
        <v>1053.442407</v>
      </c>
      <c r="S10" s="338">
        <v>946.3239470000002</v>
      </c>
      <c r="T10" s="338">
        <v>1781.6153810000005</v>
      </c>
      <c r="U10" s="338">
        <v>617.4178089999989</v>
      </c>
      <c r="V10" s="338">
        <v>2570.6627579999999</v>
      </c>
      <c r="W10" s="338">
        <v>2161.7268366299986</v>
      </c>
      <c r="X10" s="338">
        <v>1858.4980905300072</v>
      </c>
      <c r="Y10" s="338">
        <v>2021.5572464899979</v>
      </c>
      <c r="Z10" s="338">
        <v>2065.38315758</v>
      </c>
      <c r="AA10" s="338">
        <v>1599</v>
      </c>
      <c r="AB10" s="338">
        <v>3208.8108045600006</v>
      </c>
      <c r="AC10" s="337">
        <v>1290.3050172850003</v>
      </c>
      <c r="AD10" s="337">
        <v>1922.83424324</v>
      </c>
      <c r="AE10" s="338">
        <v>1888.1846265699992</v>
      </c>
      <c r="AF10" s="337">
        <v>2387.858646080002</v>
      </c>
      <c r="AG10" s="337">
        <v>1431.0344554832013</v>
      </c>
      <c r="AH10" s="337">
        <v>1168.8533764640003</v>
      </c>
      <c r="AI10" s="337">
        <v>1023</v>
      </c>
      <c r="AJ10" s="337">
        <v>2660.5111586020007</v>
      </c>
      <c r="AK10" s="337">
        <v>973.37357780503407</v>
      </c>
      <c r="AL10" s="337">
        <v>1181.6180149962404</v>
      </c>
      <c r="AM10" s="337">
        <v>3086.6367203732707</v>
      </c>
      <c r="AN10" s="337">
        <v>3415.8810700581116</v>
      </c>
      <c r="AO10" s="337">
        <v>3324.6921867817837</v>
      </c>
      <c r="AP10" s="337">
        <v>3891.973907168895</v>
      </c>
      <c r="AQ10" s="337">
        <v>3500</v>
      </c>
      <c r="AR10" s="285">
        <v>4062.0316719577932</v>
      </c>
      <c r="AS10" s="285">
        <v>4967.788945318116</v>
      </c>
      <c r="AT10" s="285">
        <v>6603.9398252683995</v>
      </c>
      <c r="AU10" s="285">
        <v>5886.1461445648256</v>
      </c>
      <c r="AV10" s="285">
        <v>4966.1232575886979</v>
      </c>
      <c r="AW10" s="285">
        <v>4280.0116695794022</v>
      </c>
      <c r="AX10" s="285">
        <v>4995.1242769895507</v>
      </c>
      <c r="AY10" s="285">
        <v>7569.4758386148487</v>
      </c>
      <c r="AZ10" s="285">
        <v>7816.7454101427611</v>
      </c>
      <c r="BA10" s="285">
        <v>8156.9987815429695</v>
      </c>
      <c r="BB10" s="285">
        <v>7072.2860581035766</v>
      </c>
      <c r="BC10" s="285">
        <v>9460.0614370519997</v>
      </c>
      <c r="BD10" s="15"/>
      <c r="BE10" s="2"/>
      <c r="BF10" s="2"/>
    </row>
    <row r="11" spans="1:58">
      <c r="A11" s="2" t="s">
        <v>759</v>
      </c>
      <c r="B11" s="394"/>
      <c r="C11" s="394"/>
      <c r="D11" s="394"/>
      <c r="E11" s="348">
        <v>2281.2190250000053</v>
      </c>
      <c r="F11" s="348">
        <v>1728.0318030000003</v>
      </c>
      <c r="G11" s="348">
        <v>2547.4634699999988</v>
      </c>
      <c r="H11" s="348">
        <v>1920.9842329999988</v>
      </c>
      <c r="I11" s="348">
        <v>1940.8216789999933</v>
      </c>
      <c r="J11" s="348">
        <v>3104.3909580000009</v>
      </c>
      <c r="K11" s="348">
        <v>2806.5896849999981</v>
      </c>
      <c r="L11" s="348">
        <v>2751.4320090000006</v>
      </c>
      <c r="M11" s="348">
        <v>1883.8997050000057</v>
      </c>
      <c r="N11" s="348">
        <v>3257.6110059999992</v>
      </c>
      <c r="O11" s="348">
        <v>3477.1765687819725</v>
      </c>
      <c r="P11" s="348">
        <v>2728.1489669752009</v>
      </c>
      <c r="Q11" s="348">
        <v>3493.4132506242722</v>
      </c>
      <c r="R11" s="338">
        <v>1467.869279</v>
      </c>
      <c r="S11" s="338">
        <v>1671.9205730000026</v>
      </c>
      <c r="T11" s="338">
        <v>928.91454999999496</v>
      </c>
      <c r="U11" s="338">
        <v>2180.396315</v>
      </c>
      <c r="V11" s="338">
        <v>343.4782469999991</v>
      </c>
      <c r="W11" s="338">
        <v>1185.6204103700034</v>
      </c>
      <c r="X11" s="338">
        <v>1555.1473794699909</v>
      </c>
      <c r="Y11" s="338">
        <v>1301.3324565100052</v>
      </c>
      <c r="Z11" s="338">
        <v>948.96447841999952</v>
      </c>
      <c r="AA11" s="338">
        <v>1116</v>
      </c>
      <c r="AB11" s="338">
        <v>-137.00881455999706</v>
      </c>
      <c r="AC11" s="337">
        <v>1711.0813117149951</v>
      </c>
      <c r="AD11" s="337">
        <v>936.44843776000016</v>
      </c>
      <c r="AE11" s="338">
        <v>1044.1563924300008</v>
      </c>
      <c r="AF11" s="337">
        <v>195.23360491999847</v>
      </c>
      <c r="AG11" s="337">
        <v>1019.3160525167968</v>
      </c>
      <c r="AH11" s="337">
        <v>1355.1309675359996</v>
      </c>
      <c r="AI11" s="337">
        <v>1447</v>
      </c>
      <c r="AJ11" s="337">
        <v>641.82941039800153</v>
      </c>
      <c r="AK11" s="337">
        <v>2038.4271791949673</v>
      </c>
      <c r="AL11" s="337">
        <v>2332.1751950037597</v>
      </c>
      <c r="AM11" s="337">
        <v>337.83171862672816</v>
      </c>
      <c r="AN11" s="337">
        <v>-264.92736305811331</v>
      </c>
      <c r="AO11" s="337">
        <v>19.872495218217864</v>
      </c>
      <c r="AP11" s="337">
        <v>-662.45683916889493</v>
      </c>
      <c r="AQ11" s="337">
        <v>279</v>
      </c>
      <c r="AR11" s="285">
        <v>295.4888410422036</v>
      </c>
      <c r="AS11" s="285">
        <v>-194.21982031811331</v>
      </c>
      <c r="AT11" s="285">
        <v>-1676.8538652684001</v>
      </c>
      <c r="AU11" s="285">
        <v>-902.96741856482276</v>
      </c>
      <c r="AV11" s="285">
        <v>206.77548468685927</v>
      </c>
      <c r="AW11" s="285">
        <v>1246.1770708131362</v>
      </c>
      <c r="AX11" s="285">
        <v>865.30569901044873</v>
      </c>
      <c r="AY11" s="285">
        <v>-1496.0456486148496</v>
      </c>
      <c r="AZ11" s="285">
        <v>-1433.1827161427573</v>
      </c>
      <c r="BA11" s="285">
        <v>-1591.4797135429681</v>
      </c>
      <c r="BB11" s="285">
        <v>-205.28605810357658</v>
      </c>
      <c r="BC11" s="285">
        <v>-2257.0614370519997</v>
      </c>
      <c r="BD11" s="15"/>
      <c r="BE11" s="2"/>
      <c r="BF11" s="2"/>
    </row>
    <row r="12" spans="1:58">
      <c r="A12" s="2" t="s">
        <v>346</v>
      </c>
      <c r="B12" s="394"/>
      <c r="C12" s="394"/>
      <c r="D12" s="394"/>
      <c r="E12" s="348">
        <v>93316.631353988894</v>
      </c>
      <c r="F12" s="348">
        <v>95305.140091784328</v>
      </c>
      <c r="G12" s="348">
        <v>96817.013619784309</v>
      </c>
      <c r="H12" s="348">
        <v>99015.622473784286</v>
      </c>
      <c r="I12" s="348">
        <v>101702.88277078429</v>
      </c>
      <c r="J12" s="348">
        <v>75692.425346784294</v>
      </c>
      <c r="K12" s="348">
        <v>76500.196942784329</v>
      </c>
      <c r="L12" s="348">
        <v>77293.073936784291</v>
      </c>
      <c r="M12" s="348">
        <v>79314.713392784324</v>
      </c>
      <c r="N12" s="348">
        <v>79224.657308270893</v>
      </c>
      <c r="O12" s="348">
        <v>80244.3572292709</v>
      </c>
      <c r="P12" s="348">
        <v>81947.05888027091</v>
      </c>
      <c r="Q12" s="348">
        <v>83571.288962270919</v>
      </c>
      <c r="R12" s="338">
        <v>56662.687697270892</v>
      </c>
      <c r="S12" s="338">
        <v>57524.543424550888</v>
      </c>
      <c r="T12" s="338">
        <v>58503.595041400898</v>
      </c>
      <c r="U12" s="338">
        <v>58462.206828630886</v>
      </c>
      <c r="V12" s="338">
        <v>60257.14643328089</v>
      </c>
      <c r="W12" s="338">
        <v>62344.410997270897</v>
      </c>
      <c r="X12" s="338">
        <v>63676.20500421535</v>
      </c>
      <c r="Y12" s="338">
        <v>64313.117330270885</v>
      </c>
      <c r="Z12" s="338">
        <v>64693.378940865899</v>
      </c>
      <c r="AA12" s="338">
        <v>66226</v>
      </c>
      <c r="AB12" s="338">
        <v>68221.454876905889</v>
      </c>
      <c r="AC12" s="337">
        <v>72097.404382970912</v>
      </c>
      <c r="AD12" s="337">
        <v>74031.203338625579</v>
      </c>
      <c r="AE12" s="338">
        <v>73086.96875783999</v>
      </c>
      <c r="AF12" s="337">
        <v>75236.747149999996</v>
      </c>
      <c r="AG12" s="337">
        <v>75782.418820999999</v>
      </c>
      <c r="AH12" s="337">
        <v>77726.511088999992</v>
      </c>
      <c r="AI12" s="337">
        <v>78756</v>
      </c>
      <c r="AJ12" s="337">
        <v>94119.143785999986</v>
      </c>
      <c r="AK12" s="337">
        <v>85959.312850999995</v>
      </c>
      <c r="AL12" s="337">
        <v>87891.077491000004</v>
      </c>
      <c r="AM12" s="337">
        <v>90912.875667</v>
      </c>
      <c r="AN12" s="337">
        <v>94049.106031999996</v>
      </c>
      <c r="AO12" s="337">
        <v>100062.83975</v>
      </c>
      <c r="AP12" s="337">
        <v>104513.88967800001</v>
      </c>
      <c r="AQ12" s="337">
        <v>108474</v>
      </c>
      <c r="AR12" s="285">
        <v>111677.787608</v>
      </c>
      <c r="AS12" s="285">
        <v>113805.08012699999</v>
      </c>
      <c r="AT12" s="285">
        <v>120837.35675199999</v>
      </c>
      <c r="AU12" s="285">
        <v>126608.214765</v>
      </c>
      <c r="AV12" s="285">
        <v>136634.22603477887</v>
      </c>
      <c r="AW12" s="285">
        <v>138988.86538</v>
      </c>
      <c r="AX12" s="285">
        <v>143240.73808899999</v>
      </c>
      <c r="AY12" s="285">
        <v>146820.611917</v>
      </c>
      <c r="AZ12" s="285">
        <v>154413.001093</v>
      </c>
      <c r="BA12" s="285">
        <v>161967.873956</v>
      </c>
      <c r="BB12" s="285">
        <v>169050.62901423997</v>
      </c>
      <c r="BC12" s="285">
        <v>175949.27935862998</v>
      </c>
      <c r="BD12" s="15"/>
      <c r="BE12" s="2"/>
      <c r="BF12" s="2"/>
    </row>
    <row r="13" spans="1:58">
      <c r="A13" s="2"/>
      <c r="B13" s="322"/>
      <c r="C13" s="322"/>
      <c r="D13" s="322"/>
      <c r="E13" s="322"/>
      <c r="F13" s="322"/>
      <c r="G13" s="322"/>
      <c r="H13" s="322"/>
      <c r="I13" s="322"/>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H13" s="322"/>
      <c r="AI13" s="322"/>
      <c r="AJ13" s="322"/>
      <c r="AK13" s="322"/>
      <c r="AL13" s="322"/>
      <c r="AM13" s="322"/>
      <c r="AN13" s="322"/>
      <c r="AO13" s="322"/>
      <c r="AP13" s="322"/>
      <c r="AQ13" s="322"/>
      <c r="AR13" s="14"/>
      <c r="AS13" s="14"/>
      <c r="AT13" s="14"/>
      <c r="AU13" s="14"/>
      <c r="AV13" s="14"/>
      <c r="AW13" s="14"/>
      <c r="AX13" s="14"/>
      <c r="AY13" s="14"/>
      <c r="AZ13" s="14"/>
      <c r="BA13" s="14"/>
      <c r="BB13" s="14"/>
      <c r="BC13" s="14"/>
      <c r="BD13" s="14"/>
      <c r="BE13" s="2"/>
      <c r="BF13" s="2"/>
    </row>
    <row r="14" spans="1:58" s="30" customFormat="1">
      <c r="A14" s="508" t="s">
        <v>64</v>
      </c>
      <c r="B14" s="518"/>
      <c r="C14" s="518"/>
      <c r="D14" s="518"/>
      <c r="E14" s="518"/>
      <c r="F14" s="518"/>
      <c r="G14" s="518"/>
      <c r="H14" s="518"/>
      <c r="I14" s="518"/>
      <c r="J14" s="518"/>
      <c r="K14" s="518"/>
      <c r="L14" s="518"/>
      <c r="M14" s="518"/>
      <c r="N14" s="518"/>
      <c r="O14" s="518"/>
      <c r="P14" s="518"/>
      <c r="Q14" s="518"/>
      <c r="R14" s="518"/>
      <c r="S14" s="518"/>
      <c r="T14" s="518"/>
      <c r="U14" s="518"/>
      <c r="V14" s="518"/>
      <c r="W14" s="518"/>
      <c r="X14" s="518"/>
      <c r="Y14" s="518"/>
      <c r="Z14" s="518"/>
      <c r="AA14" s="518"/>
      <c r="AB14" s="518"/>
      <c r="AC14" s="518"/>
      <c r="AD14" s="518"/>
      <c r="AE14" s="516"/>
      <c r="AF14" s="516"/>
      <c r="AG14" s="516"/>
      <c r="AH14" s="516"/>
      <c r="AI14" s="516"/>
      <c r="AJ14" s="516"/>
      <c r="AK14" s="516"/>
      <c r="AL14" s="516"/>
      <c r="AM14" s="516"/>
      <c r="AN14" s="516"/>
      <c r="AO14" s="516"/>
      <c r="AP14" s="516"/>
      <c r="AQ14" s="516"/>
      <c r="AR14" s="520"/>
      <c r="AS14" s="520"/>
      <c r="AT14" s="520"/>
      <c r="AU14" s="520"/>
      <c r="AV14" s="520"/>
      <c r="AW14" s="520"/>
      <c r="AX14" s="520"/>
      <c r="AY14" s="520"/>
      <c r="AZ14" s="520"/>
      <c r="BA14" s="520"/>
      <c r="BB14" s="520"/>
      <c r="BC14" s="520"/>
      <c r="BD14" s="508"/>
      <c r="BE14" s="508"/>
      <c r="BF14" s="13"/>
    </row>
    <row r="15" spans="1:58">
      <c r="A15" s="2" t="s">
        <v>751</v>
      </c>
      <c r="B15" s="338">
        <v>2934</v>
      </c>
      <c r="C15" s="338">
        <v>3135</v>
      </c>
      <c r="D15" s="338">
        <v>3327</v>
      </c>
      <c r="E15" s="338">
        <v>3564.6483389999994</v>
      </c>
      <c r="F15" s="338">
        <v>3657.8662089999998</v>
      </c>
      <c r="G15" s="338">
        <v>3936.7797700000001</v>
      </c>
      <c r="H15" s="338">
        <v>4280.428766</v>
      </c>
      <c r="I15" s="338">
        <v>4419.1677200000022</v>
      </c>
      <c r="J15" s="338">
        <v>4899.5489070000003</v>
      </c>
      <c r="K15" s="338">
        <v>5071.5662709999997</v>
      </c>
      <c r="L15" s="338">
        <v>5384.3185450000001</v>
      </c>
      <c r="M15" s="338">
        <v>5415.2989529999995</v>
      </c>
      <c r="N15" s="338">
        <v>5914.8962629999996</v>
      </c>
      <c r="O15" s="338">
        <v>6263.2988660000001</v>
      </c>
      <c r="P15" s="338">
        <v>6233.6689279999982</v>
      </c>
      <c r="Q15" s="338">
        <v>6347.5828170000013</v>
      </c>
      <c r="R15" s="338">
        <v>6847.5415030000004</v>
      </c>
      <c r="S15" s="338">
        <v>7068.4080429999995</v>
      </c>
      <c r="T15" s="338">
        <v>7421.6972060000007</v>
      </c>
      <c r="U15" s="338">
        <v>7840.0639080000001</v>
      </c>
      <c r="V15" s="338">
        <v>8368.8924590000006</v>
      </c>
      <c r="W15" s="338">
        <v>8545.3095669999984</v>
      </c>
      <c r="X15" s="338">
        <v>8734.7009439999983</v>
      </c>
      <c r="Y15" s="338">
        <v>8657.3839450000032</v>
      </c>
      <c r="Z15" s="338">
        <v>8973.6715359999998</v>
      </c>
      <c r="AA15" s="338">
        <v>9369</v>
      </c>
      <c r="AB15" s="338">
        <v>9642.4637969999985</v>
      </c>
      <c r="AC15" s="337">
        <v>9584.8888430000025</v>
      </c>
      <c r="AD15" s="337">
        <v>9924.2629930000003</v>
      </c>
      <c r="AE15" s="338">
        <v>10241.891726999998</v>
      </c>
      <c r="AF15" s="337">
        <v>10329.501276000003</v>
      </c>
      <c r="AG15" s="337">
        <v>10505.675816999996</v>
      </c>
      <c r="AH15" s="337">
        <v>7389.4105060000002</v>
      </c>
      <c r="AI15" s="337">
        <v>7893</v>
      </c>
      <c r="AJ15" s="337">
        <v>7921.6576299999997</v>
      </c>
      <c r="AK15" s="337">
        <v>6034.7938980000017</v>
      </c>
      <c r="AL15" s="337">
        <v>7448.2672670000002</v>
      </c>
      <c r="AM15" s="337">
        <v>7548.4164109999992</v>
      </c>
      <c r="AN15" s="337">
        <v>7892.0325370000019</v>
      </c>
      <c r="AO15" s="337">
        <v>7673.1986040000002</v>
      </c>
      <c r="AP15" s="337">
        <v>8094.5149229999997</v>
      </c>
      <c r="AQ15" s="337">
        <v>7979</v>
      </c>
      <c r="AR15" s="285">
        <v>7912.4453920000005</v>
      </c>
      <c r="AS15" s="285">
        <v>7551.7784139999994</v>
      </c>
      <c r="AT15" s="285">
        <v>7481.7754379999997</v>
      </c>
      <c r="AU15" s="285">
        <v>7288.047474</v>
      </c>
      <c r="AV15" s="285">
        <v>7390.2210090000017</v>
      </c>
      <c r="AW15" s="285">
        <v>7290.4513539999998</v>
      </c>
      <c r="AX15" s="285">
        <v>7403.2364610000004</v>
      </c>
      <c r="AY15" s="285">
        <v>7514.5563480000001</v>
      </c>
      <c r="AZ15" s="285">
        <v>7837.163896</v>
      </c>
      <c r="BA15" s="285">
        <v>7693.4150569999965</v>
      </c>
      <c r="BB15" s="285">
        <v>7771</v>
      </c>
      <c r="BC15" s="285">
        <v>7586</v>
      </c>
      <c r="BD15" s="15"/>
      <c r="BE15" s="91"/>
      <c r="BF15" s="2"/>
    </row>
    <row r="16" spans="1:58">
      <c r="A16" s="2" t="s">
        <v>753</v>
      </c>
      <c r="B16" s="338">
        <v>50</v>
      </c>
      <c r="C16" s="338">
        <v>116</v>
      </c>
      <c r="D16" s="338">
        <v>90</v>
      </c>
      <c r="E16" s="338">
        <v>208.74756399999984</v>
      </c>
      <c r="F16" s="338">
        <v>-23.307817000000405</v>
      </c>
      <c r="G16" s="338">
        <v>32.810306000000011</v>
      </c>
      <c r="H16" s="338">
        <v>146.88800599999922</v>
      </c>
      <c r="I16" s="338">
        <v>295.89420300000302</v>
      </c>
      <c r="J16" s="338">
        <v>760.32124399999998</v>
      </c>
      <c r="K16" s="338">
        <v>644.8709450000008</v>
      </c>
      <c r="L16" s="338">
        <v>969.9395669999999</v>
      </c>
      <c r="M16" s="338">
        <v>963.13938600000029</v>
      </c>
      <c r="N16" s="338">
        <v>1436.7268169999998</v>
      </c>
      <c r="O16" s="338">
        <v>1528.705486733001</v>
      </c>
      <c r="P16" s="338">
        <v>1706.7644829999997</v>
      </c>
      <c r="Q16" s="338">
        <v>2078.4222019999988</v>
      </c>
      <c r="R16" s="338">
        <v>2408.0079910000013</v>
      </c>
      <c r="S16" s="338">
        <v>2343.1561359999969</v>
      </c>
      <c r="T16" s="338">
        <v>2474.2092850000026</v>
      </c>
      <c r="U16" s="338">
        <v>2750.4565199999997</v>
      </c>
      <c r="V16" s="338">
        <v>3010.7100689999997</v>
      </c>
      <c r="W16" s="338">
        <v>3029.5357459999987</v>
      </c>
      <c r="X16" s="338">
        <v>3025.8287670000027</v>
      </c>
      <c r="Y16" s="338">
        <v>3152.8717449999931</v>
      </c>
      <c r="Z16" s="338">
        <v>3299.8260079999991</v>
      </c>
      <c r="AA16" s="338">
        <v>3517</v>
      </c>
      <c r="AB16" s="338">
        <v>3708.4244909999979</v>
      </c>
      <c r="AC16" s="337">
        <v>3701.3636019999976</v>
      </c>
      <c r="AD16" s="337">
        <v>4010.3774549999998</v>
      </c>
      <c r="AE16" s="338">
        <v>3960.009466999998</v>
      </c>
      <c r="AF16" s="337">
        <v>3825.8353180000013</v>
      </c>
      <c r="AG16" s="337">
        <v>3925.8858579999978</v>
      </c>
      <c r="AH16" s="337">
        <v>5263.1006560000005</v>
      </c>
      <c r="AI16" s="337">
        <v>5607</v>
      </c>
      <c r="AJ16" s="337">
        <v>5440.677483999998</v>
      </c>
      <c r="AK16" s="337">
        <v>3648.1673410000021</v>
      </c>
      <c r="AL16" s="337">
        <v>5041.1498350000002</v>
      </c>
      <c r="AM16" s="337">
        <v>5350.9237969999995</v>
      </c>
      <c r="AN16" s="337">
        <v>5291.4703479999989</v>
      </c>
      <c r="AO16" s="337">
        <v>5105.0719160000044</v>
      </c>
      <c r="AP16" s="337">
        <v>5420.7716569999993</v>
      </c>
      <c r="AQ16" s="337">
        <v>5314</v>
      </c>
      <c r="AR16" s="285">
        <v>5318.8595919999971</v>
      </c>
      <c r="AS16" s="285">
        <v>4952.0216600000058</v>
      </c>
      <c r="AT16" s="285">
        <v>4779.2623769999991</v>
      </c>
      <c r="AU16" s="285">
        <v>4351.539568000002</v>
      </c>
      <c r="AV16" s="285">
        <v>4132.1344969999991</v>
      </c>
      <c r="AW16" s="285">
        <v>4081.3691570000028</v>
      </c>
      <c r="AX16" s="285">
        <v>4263.8057280000003</v>
      </c>
      <c r="AY16" s="285">
        <v>4212.1457589999982</v>
      </c>
      <c r="AZ16" s="285">
        <v>4285.0463120000013</v>
      </c>
      <c r="BA16" s="285">
        <v>4391.1461019999979</v>
      </c>
      <c r="BB16" s="285">
        <v>4402</v>
      </c>
      <c r="BC16" s="285">
        <v>4243</v>
      </c>
      <c r="BD16" s="15"/>
      <c r="BE16" s="2"/>
      <c r="BF16" s="2"/>
    </row>
    <row r="17" spans="1:58" s="34" customFormat="1">
      <c r="A17" s="4" t="s">
        <v>342</v>
      </c>
      <c r="B17" s="326"/>
      <c r="C17" s="326"/>
      <c r="D17" s="326"/>
      <c r="E17" s="331">
        <v>5.856049297097294E-2</v>
      </c>
      <c r="F17" s="331">
        <v>-6.3719708891081554E-3</v>
      </c>
      <c r="G17" s="331">
        <v>8.3343006002085836E-3</v>
      </c>
      <c r="H17" s="331">
        <v>3.431618980947649E-2</v>
      </c>
      <c r="I17" s="331">
        <v>6.6956997730786033E-2</v>
      </c>
      <c r="J17" s="331">
        <v>0.15518188682915823</v>
      </c>
      <c r="K17" s="331">
        <v>0.12715419863237765</v>
      </c>
      <c r="L17" s="331">
        <v>0.18014156459979652</v>
      </c>
      <c r="M17" s="331">
        <v>0.17785525681207953</v>
      </c>
      <c r="N17" s="331">
        <v>0.24289974889116661</v>
      </c>
      <c r="O17" s="331">
        <v>0.24407353368230617</v>
      </c>
      <c r="P17" s="331">
        <v>0.2737977429846592</v>
      </c>
      <c r="Q17" s="331">
        <v>0.32743522407200415</v>
      </c>
      <c r="R17" s="331">
        <v>0.35166022578249734</v>
      </c>
      <c r="S17" s="331">
        <v>0.33149701060629572</v>
      </c>
      <c r="T17" s="331">
        <v>0.333375131903758</v>
      </c>
      <c r="U17" s="331">
        <v>0.35082067598880595</v>
      </c>
      <c r="V17" s="331">
        <v>0.35975012031158893</v>
      </c>
      <c r="W17" s="331">
        <v>0.35452615522547742</v>
      </c>
      <c r="X17" s="331">
        <v>0.34641469540848924</v>
      </c>
      <c r="Y17" s="331">
        <v>0.36418296393345323</v>
      </c>
      <c r="Z17" s="331">
        <v>0.3677230657219811</v>
      </c>
      <c r="AA17" s="331">
        <v>0.375</v>
      </c>
      <c r="AB17" s="331">
        <v>0.38459304271941136</v>
      </c>
      <c r="AC17" s="332">
        <v>0.38616656516608044</v>
      </c>
      <c r="AD17" s="332">
        <v>0.40409826481106836</v>
      </c>
      <c r="AE17" s="331">
        <v>0.38664824551508353</v>
      </c>
      <c r="AF17" s="332">
        <v>0.37037948065209186</v>
      </c>
      <c r="AG17" s="332">
        <v>0.37369189059186819</v>
      </c>
      <c r="AH17" s="332">
        <v>0.71224905582475162</v>
      </c>
      <c r="AI17" s="332">
        <v>0.71</v>
      </c>
      <c r="AJ17" s="332">
        <v>0.68681048059886907</v>
      </c>
      <c r="AK17" s="332">
        <v>0.60452227576637629</v>
      </c>
      <c r="AL17" s="332">
        <v>0.67682182369248756</v>
      </c>
      <c r="AM17" s="332">
        <v>0.7088803141811727</v>
      </c>
      <c r="AN17" s="332">
        <v>0.67048258141260086</v>
      </c>
      <c r="AO17" s="332">
        <v>0.6653121050898847</v>
      </c>
      <c r="AP17" s="332">
        <v>0.6696845590582895</v>
      </c>
      <c r="AQ17" s="332">
        <v>0.66600000000000004</v>
      </c>
      <c r="AR17" s="287">
        <v>0.67221438234224173</v>
      </c>
      <c r="AS17" s="287">
        <v>0.65574244747695609</v>
      </c>
      <c r="AT17" s="287">
        <v>0.6387871991888564</v>
      </c>
      <c r="AU17" s="287">
        <v>0.59707892731545098</v>
      </c>
      <c r="AV17" s="287">
        <v>0.55913544290052752</v>
      </c>
      <c r="AW17" s="287">
        <v>0.55982393391332452</v>
      </c>
      <c r="AX17" s="287">
        <v>0.57593807120191076</v>
      </c>
      <c r="AY17" s="287">
        <v>0.56053152893331637</v>
      </c>
      <c r="AZ17" s="287">
        <v>0.54675981884046609</v>
      </c>
      <c r="BA17" s="287">
        <v>0.57076682714585014</v>
      </c>
      <c r="BB17" s="287">
        <v>0.56646506241153005</v>
      </c>
      <c r="BC17" s="287">
        <v>0.55931979963089906</v>
      </c>
      <c r="BD17" s="39"/>
      <c r="BE17" s="4"/>
      <c r="BF17" s="100"/>
    </row>
    <row r="18" spans="1:58">
      <c r="A18" s="2" t="s">
        <v>38</v>
      </c>
      <c r="B18" s="329"/>
      <c r="C18" s="329"/>
      <c r="D18" s="329"/>
      <c r="E18" s="338">
        <v>-1943.6416760000011</v>
      </c>
      <c r="F18" s="338">
        <v>-2265.2774960000011</v>
      </c>
      <c r="G18" s="338">
        <v>-2227.547904999999</v>
      </c>
      <c r="H18" s="338">
        <v>-1827.8970509999981</v>
      </c>
      <c r="I18" s="338">
        <v>-1784.2072610000005</v>
      </c>
      <c r="J18" s="338">
        <v>-1155.9283900000014</v>
      </c>
      <c r="K18" s="338">
        <v>-1472.6183999999967</v>
      </c>
      <c r="L18" s="338">
        <v>-1081.2030520000012</v>
      </c>
      <c r="M18" s="338">
        <v>-1110.8902169999974</v>
      </c>
      <c r="N18" s="338">
        <v>-626.53059999999982</v>
      </c>
      <c r="O18" s="338">
        <v>-676.58855526699949</v>
      </c>
      <c r="P18" s="338">
        <v>-359.77325300000211</v>
      </c>
      <c r="Q18" s="338">
        <v>80.228640000001178</v>
      </c>
      <c r="R18" s="338">
        <v>415.33132200000136</v>
      </c>
      <c r="S18" s="338">
        <v>169.82421699999622</v>
      </c>
      <c r="T18" s="338">
        <v>538.34368500000346</v>
      </c>
      <c r="U18" s="338">
        <v>719.97489299999961</v>
      </c>
      <c r="V18" s="338">
        <v>1219.1238349999999</v>
      </c>
      <c r="W18" s="338">
        <v>699.2302569999988</v>
      </c>
      <c r="X18" s="338">
        <v>683.99002200000268</v>
      </c>
      <c r="Y18" s="338">
        <v>974.68919299999288</v>
      </c>
      <c r="Z18" s="338">
        <v>1038.0207429999991</v>
      </c>
      <c r="AA18" s="338">
        <v>1230</v>
      </c>
      <c r="AB18" s="338">
        <v>1499.7899769999976</v>
      </c>
      <c r="AC18" s="337">
        <v>1537.9889479999965</v>
      </c>
      <c r="AD18" s="337">
        <v>2084.0375029999996</v>
      </c>
      <c r="AE18" s="338">
        <v>1905.3585899999985</v>
      </c>
      <c r="AF18" s="337">
        <v>1568.0329060000017</v>
      </c>
      <c r="AG18" s="337">
        <v>1852.9558809999958</v>
      </c>
      <c r="AH18" s="337">
        <v>3612.2648080000008</v>
      </c>
      <c r="AI18" s="337">
        <v>3243</v>
      </c>
      <c r="AJ18" s="337">
        <v>3010.5663559999984</v>
      </c>
      <c r="AK18" s="337">
        <v>1464.5049190000018</v>
      </c>
      <c r="AL18" s="337">
        <v>2511.6945230000001</v>
      </c>
      <c r="AM18" s="337">
        <v>2944.5274280000003</v>
      </c>
      <c r="AN18" s="337">
        <v>3071.3616289999982</v>
      </c>
      <c r="AO18" s="337">
        <v>2483.7359750000051</v>
      </c>
      <c r="AP18" s="337">
        <v>2698.8098139999993</v>
      </c>
      <c r="AQ18" s="337">
        <v>2204</v>
      </c>
      <c r="AR18" s="285">
        <v>2100.301884999998</v>
      </c>
      <c r="AS18" s="285">
        <v>1370.9401470000048</v>
      </c>
      <c r="AT18" s="285">
        <v>1423.0450569999989</v>
      </c>
      <c r="AU18" s="285">
        <v>784.59620300000233</v>
      </c>
      <c r="AV18" s="285">
        <v>919.41168899999957</v>
      </c>
      <c r="AW18" s="285">
        <v>648.36711800000012</v>
      </c>
      <c r="AX18" s="285">
        <v>965.90913300000011</v>
      </c>
      <c r="AY18" s="285">
        <v>374.30839599999854</v>
      </c>
      <c r="AZ18" s="285">
        <v>789.13621100000182</v>
      </c>
      <c r="BA18" s="285">
        <v>544.57966099999794</v>
      </c>
      <c r="BB18" s="285">
        <v>832</v>
      </c>
      <c r="BC18" s="285">
        <v>12</v>
      </c>
      <c r="BD18" s="15"/>
      <c r="BE18" s="91">
        <f>(1000*0.33333*AG25/1904)/75</f>
        <v>70.120446577418079</v>
      </c>
      <c r="BF18" s="2"/>
    </row>
    <row r="19" spans="1:58">
      <c r="A19" s="2" t="s">
        <v>39</v>
      </c>
      <c r="B19" s="338">
        <v>3014</v>
      </c>
      <c r="C19" s="338">
        <v>2610</v>
      </c>
      <c r="D19" s="338">
        <v>1503</v>
      </c>
      <c r="E19" s="338">
        <v>980.83917600000041</v>
      </c>
      <c r="F19" s="338">
        <v>3240.5396049999999</v>
      </c>
      <c r="G19" s="338">
        <v>1630.2186299999998</v>
      </c>
      <c r="H19" s="338">
        <v>1350.7979519999999</v>
      </c>
      <c r="I19" s="338">
        <v>1326.3410439999998</v>
      </c>
      <c r="J19" s="338">
        <v>2239.2943369999998</v>
      </c>
      <c r="K19" s="338">
        <v>1042.3156960000001</v>
      </c>
      <c r="L19" s="338">
        <v>1109.4017120000008</v>
      </c>
      <c r="M19" s="338">
        <v>1778.7749289999992</v>
      </c>
      <c r="N19" s="338">
        <v>2627.0327029999999</v>
      </c>
      <c r="O19" s="338">
        <v>2254.9696869999998</v>
      </c>
      <c r="P19" s="338">
        <v>1630.0649810000004</v>
      </c>
      <c r="Q19" s="338">
        <v>1330.0673059999999</v>
      </c>
      <c r="R19" s="338">
        <v>2112.7241089999998</v>
      </c>
      <c r="S19" s="338">
        <v>2501.3943100000006</v>
      </c>
      <c r="T19" s="338">
        <v>3422.1842609999994</v>
      </c>
      <c r="U19" s="338">
        <v>2943.4594359999983</v>
      </c>
      <c r="V19" s="338">
        <v>2030.1525179999999</v>
      </c>
      <c r="W19" s="338">
        <v>2541.1707275080003</v>
      </c>
      <c r="X19" s="338">
        <v>2650.2535696519994</v>
      </c>
      <c r="Y19" s="338">
        <v>1386.0040138400007</v>
      </c>
      <c r="Z19" s="338">
        <v>2661.0900125189996</v>
      </c>
      <c r="AA19" s="338">
        <v>3191</v>
      </c>
      <c r="AB19" s="338">
        <v>2360.4760498400001</v>
      </c>
      <c r="AC19" s="337">
        <v>2064.3502559709991</v>
      </c>
      <c r="AD19" s="337">
        <v>1808.8751005000004</v>
      </c>
      <c r="AE19" s="338">
        <v>1797.0683514700002</v>
      </c>
      <c r="AF19" s="337">
        <v>3268.0672073399996</v>
      </c>
      <c r="AG19" s="337">
        <v>1916.6303276999997</v>
      </c>
      <c r="AH19" s="337">
        <v>2436.6709966400003</v>
      </c>
      <c r="AI19" s="337">
        <v>2052</v>
      </c>
      <c r="AJ19" s="337">
        <v>3509.4065474000004</v>
      </c>
      <c r="AK19" s="337">
        <v>2514.3762578869987</v>
      </c>
      <c r="AL19" s="337">
        <v>2457.2097514000006</v>
      </c>
      <c r="AM19" s="337">
        <v>3469.0483109999991</v>
      </c>
      <c r="AN19" s="337">
        <v>3226.3077855299998</v>
      </c>
      <c r="AO19" s="337">
        <v>3690.3759494400001</v>
      </c>
      <c r="AP19" s="337">
        <v>2931.5903770649993</v>
      </c>
      <c r="AQ19" s="337">
        <v>2579</v>
      </c>
      <c r="AR19" s="285">
        <v>4373.7661707919979</v>
      </c>
      <c r="AS19" s="285">
        <v>3143.2969737380045</v>
      </c>
      <c r="AT19" s="285">
        <v>2469.6391860600002</v>
      </c>
      <c r="AU19" s="285">
        <v>3053.6414709399996</v>
      </c>
      <c r="AV19" s="285">
        <v>4534.0647973400019</v>
      </c>
      <c r="AW19" s="285">
        <v>3544.2171699200003</v>
      </c>
      <c r="AX19" s="285">
        <v>3843.0834917900006</v>
      </c>
      <c r="AY19" s="285">
        <v>3754.7317059300003</v>
      </c>
      <c r="AZ19" s="285">
        <v>3716.8138145570006</v>
      </c>
      <c r="BA19" s="285">
        <v>3070.6824271199966</v>
      </c>
      <c r="BB19" s="285">
        <v>4078.0986539999999</v>
      </c>
      <c r="BC19" s="285">
        <v>4251.6728830000002</v>
      </c>
      <c r="BD19" s="15"/>
      <c r="BE19" s="2"/>
      <c r="BF19" s="2"/>
    </row>
    <row r="20" spans="1:58">
      <c r="A20" s="2" t="s">
        <v>760</v>
      </c>
      <c r="B20" s="329"/>
      <c r="C20" s="329"/>
      <c r="D20" s="329"/>
      <c r="E20" s="338">
        <v>-772.09161200000062</v>
      </c>
      <c r="F20" s="338">
        <v>-3263.8474220000003</v>
      </c>
      <c r="G20" s="338">
        <v>-1597.4083239999998</v>
      </c>
      <c r="H20" s="338">
        <v>-1203.9099460000007</v>
      </c>
      <c r="I20" s="338">
        <v>-1030.4468409999968</v>
      </c>
      <c r="J20" s="338">
        <v>-1478.9730929999998</v>
      </c>
      <c r="K20" s="338">
        <v>-397.44475099999931</v>
      </c>
      <c r="L20" s="338">
        <v>-139.46214500000087</v>
      </c>
      <c r="M20" s="338">
        <v>-815.63554299999896</v>
      </c>
      <c r="N20" s="338">
        <v>-1190.3058860000001</v>
      </c>
      <c r="O20" s="338">
        <v>-726.26420026699884</v>
      </c>
      <c r="P20" s="338">
        <v>76.699501999999256</v>
      </c>
      <c r="Q20" s="338">
        <v>748.35489599999892</v>
      </c>
      <c r="R20" s="338">
        <v>295.28388200000154</v>
      </c>
      <c r="S20" s="338">
        <v>-158.23817400000371</v>
      </c>
      <c r="T20" s="338">
        <v>-947.97497599999679</v>
      </c>
      <c r="U20" s="338">
        <v>-193.00291599999855</v>
      </c>
      <c r="V20" s="338">
        <v>980.55755099999988</v>
      </c>
      <c r="W20" s="338">
        <v>488.3650184919984</v>
      </c>
      <c r="X20" s="338">
        <v>375.57519734800326</v>
      </c>
      <c r="Y20" s="338">
        <v>1766.8677311599924</v>
      </c>
      <c r="Z20" s="338">
        <v>638.73599548099946</v>
      </c>
      <c r="AA20" s="338">
        <v>326</v>
      </c>
      <c r="AB20" s="338">
        <v>1347.9484411599979</v>
      </c>
      <c r="AC20" s="337">
        <v>1637.0133460289985</v>
      </c>
      <c r="AD20" s="337">
        <v>2201.5023544999995</v>
      </c>
      <c r="AE20" s="338">
        <v>2162.9411155299977</v>
      </c>
      <c r="AF20" s="337">
        <v>557.76811066000164</v>
      </c>
      <c r="AG20" s="337">
        <v>2009.2555302999981</v>
      </c>
      <c r="AH20" s="337">
        <v>2826.4296593600002</v>
      </c>
      <c r="AI20" s="337">
        <v>3556</v>
      </c>
      <c r="AJ20" s="337">
        <v>1931.2709365999976</v>
      </c>
      <c r="AK20" s="337">
        <v>1133.7910831130034</v>
      </c>
      <c r="AL20" s="337">
        <v>2583.9400835999995</v>
      </c>
      <c r="AM20" s="337">
        <v>1881.8754860000004</v>
      </c>
      <c r="AN20" s="337">
        <v>2065.1625624699991</v>
      </c>
      <c r="AO20" s="337">
        <v>1414.6959665600043</v>
      </c>
      <c r="AP20" s="337">
        <v>2489.181279935</v>
      </c>
      <c r="AQ20" s="337">
        <v>2736</v>
      </c>
      <c r="AR20" s="285">
        <v>945.0934212079992</v>
      </c>
      <c r="AS20" s="285">
        <v>1808.7246862620013</v>
      </c>
      <c r="AT20" s="285">
        <v>2309.6231909399989</v>
      </c>
      <c r="AU20" s="285">
        <v>1297.8980970600023</v>
      </c>
      <c r="AV20" s="285">
        <v>-401.93030034000276</v>
      </c>
      <c r="AW20" s="285">
        <v>537.15198708000253</v>
      </c>
      <c r="AX20" s="285">
        <v>420.72223620999966</v>
      </c>
      <c r="AY20" s="285">
        <v>457.41405306999786</v>
      </c>
      <c r="AZ20" s="285">
        <v>568.23249744300074</v>
      </c>
      <c r="BA20" s="285">
        <v>1320.4636748800012</v>
      </c>
      <c r="BB20" s="285">
        <v>323.9013460000001</v>
      </c>
      <c r="BC20" s="285">
        <v>-8.6728830000001835</v>
      </c>
      <c r="BD20" s="15"/>
      <c r="BE20" s="2"/>
      <c r="BF20" s="2"/>
    </row>
    <row r="21" spans="1:58">
      <c r="A21" s="2" t="s">
        <v>346</v>
      </c>
      <c r="B21" s="329"/>
      <c r="C21" s="329"/>
      <c r="D21" s="329"/>
      <c r="E21" s="338">
        <v>32980.150347000003</v>
      </c>
      <c r="F21" s="338">
        <v>35402.399286</v>
      </c>
      <c r="G21" s="338">
        <v>37875.974400000006</v>
      </c>
      <c r="H21" s="338">
        <v>39245.460721000003</v>
      </c>
      <c r="I21" s="338">
        <v>40365.884910000008</v>
      </c>
      <c r="J21" s="338">
        <v>42596.484207000009</v>
      </c>
      <c r="K21" s="338">
        <v>43612.874722000008</v>
      </c>
      <c r="L21" s="338">
        <v>44712.488775000005</v>
      </c>
      <c r="M21" s="338">
        <v>46468.192668000003</v>
      </c>
      <c r="N21" s="338">
        <v>47977.350706999998</v>
      </c>
      <c r="O21" s="338">
        <v>51355.963200999999</v>
      </c>
      <c r="P21" s="338">
        <v>52948.078086000009</v>
      </c>
      <c r="Q21" s="338">
        <v>54108.719886999999</v>
      </c>
      <c r="R21" s="338">
        <v>56215.929154000005</v>
      </c>
      <c r="S21" s="338">
        <v>58653.415545000003</v>
      </c>
      <c r="T21" s="338">
        <v>61769.694054000007</v>
      </c>
      <c r="U21" s="338">
        <v>64906.393517999997</v>
      </c>
      <c r="V21" s="338">
        <v>66935.709472999995</v>
      </c>
      <c r="W21" s="338">
        <v>69453.428155000001</v>
      </c>
      <c r="X21" s="338">
        <v>72127.474015</v>
      </c>
      <c r="Y21" s="338">
        <v>73513.305027999988</v>
      </c>
      <c r="Z21" s="338">
        <v>72252.944632999977</v>
      </c>
      <c r="AA21" s="338">
        <v>75435</v>
      </c>
      <c r="AB21" s="338">
        <v>77993.156769999987</v>
      </c>
      <c r="AC21" s="337">
        <v>80057.40602200001</v>
      </c>
      <c r="AD21" s="337">
        <v>81685.605134999991</v>
      </c>
      <c r="AE21" s="338">
        <v>83514.101265000005</v>
      </c>
      <c r="AF21" s="337">
        <v>86764.985282000009</v>
      </c>
      <c r="AG21" s="337">
        <v>88570.122445000001</v>
      </c>
      <c r="AH21" s="337">
        <v>90986.83108399999</v>
      </c>
      <c r="AI21" s="337">
        <v>93046</v>
      </c>
      <c r="AJ21" s="337">
        <v>96553.177906000012</v>
      </c>
      <c r="AK21" s="337">
        <v>98584.804445999995</v>
      </c>
      <c r="AL21" s="337">
        <v>101032.14189599999</v>
      </c>
      <c r="AM21" s="337">
        <v>104499.679078</v>
      </c>
      <c r="AN21" s="337">
        <v>107589.486552</v>
      </c>
      <c r="AO21" s="337">
        <v>111003.69695499999</v>
      </c>
      <c r="AP21" s="337">
        <v>113798.37347799999</v>
      </c>
      <c r="AQ21" s="337">
        <v>116710</v>
      </c>
      <c r="AR21" s="285">
        <v>120844.37129699999</v>
      </c>
      <c r="AS21" s="285">
        <v>121493.20396099999</v>
      </c>
      <c r="AT21" s="285">
        <v>123921.12505200002</v>
      </c>
      <c r="AU21" s="285">
        <v>126964.65627099999</v>
      </c>
      <c r="AV21" s="285">
        <v>131495.20970800001</v>
      </c>
      <c r="AW21" s="285">
        <v>129269.630298</v>
      </c>
      <c r="AX21" s="285">
        <v>129744.535122</v>
      </c>
      <c r="AY21" s="285">
        <v>130347.857987</v>
      </c>
      <c r="AZ21" s="285">
        <v>130977.84963</v>
      </c>
      <c r="BA21" s="285">
        <v>131408.16911300001</v>
      </c>
      <c r="BB21" s="285">
        <v>132596.74665839001</v>
      </c>
      <c r="BC21" s="285">
        <v>133432.70576300003</v>
      </c>
      <c r="BD21" s="15"/>
      <c r="BE21" s="2"/>
      <c r="BF21" s="2"/>
    </row>
    <row r="22" spans="1:58">
      <c r="A22" s="2"/>
      <c r="B22" s="329"/>
      <c r="C22" s="329"/>
      <c r="D22" s="329"/>
      <c r="E22" s="329"/>
      <c r="F22" s="329"/>
      <c r="G22" s="329"/>
      <c r="H22" s="329"/>
      <c r="I22" s="329"/>
      <c r="J22" s="329"/>
      <c r="K22" s="329"/>
      <c r="L22" s="329"/>
      <c r="M22" s="329"/>
      <c r="N22" s="329"/>
      <c r="O22" s="329"/>
      <c r="P22" s="329"/>
      <c r="Q22" s="329"/>
      <c r="R22" s="338"/>
      <c r="S22" s="338"/>
      <c r="T22" s="338"/>
      <c r="U22" s="338"/>
      <c r="V22" s="338"/>
      <c r="W22" s="338"/>
      <c r="X22" s="338"/>
      <c r="Y22" s="338"/>
      <c r="Z22" s="338"/>
      <c r="AA22" s="338"/>
      <c r="AB22" s="338"/>
      <c r="AC22" s="337"/>
      <c r="AD22" s="337"/>
      <c r="AE22" s="338"/>
      <c r="AF22" s="337"/>
      <c r="AG22" s="337"/>
      <c r="AH22" s="337"/>
      <c r="AI22" s="337"/>
      <c r="AJ22" s="337"/>
      <c r="AK22" s="337"/>
      <c r="AL22" s="337"/>
      <c r="AM22" s="337"/>
      <c r="AN22" s="337"/>
      <c r="AO22" s="330"/>
      <c r="AP22" s="330"/>
      <c r="AQ22" s="330"/>
      <c r="AR22" s="54"/>
      <c r="AS22" s="54"/>
      <c r="AT22" s="54"/>
      <c r="AU22" s="54"/>
      <c r="AV22" s="54"/>
      <c r="AW22" s="54"/>
      <c r="AX22" s="54"/>
      <c r="AY22" s="54"/>
      <c r="AZ22" s="54"/>
      <c r="BA22" s="54"/>
      <c r="BB22" s="54"/>
      <c r="BC22" s="54"/>
      <c r="BD22" s="15"/>
      <c r="BE22" s="2"/>
      <c r="BF22" s="2"/>
    </row>
    <row r="23" spans="1:58" s="30" customFormat="1">
      <c r="A23" s="508" t="s">
        <v>65</v>
      </c>
      <c r="B23" s="518"/>
      <c r="C23" s="518"/>
      <c r="D23" s="518"/>
      <c r="E23" s="518"/>
      <c r="F23" s="518"/>
      <c r="G23" s="518"/>
      <c r="H23" s="518"/>
      <c r="I23" s="518"/>
      <c r="J23" s="518"/>
      <c r="K23" s="518"/>
      <c r="L23" s="518"/>
      <c r="M23" s="518"/>
      <c r="N23" s="518"/>
      <c r="O23" s="518"/>
      <c r="P23" s="518"/>
      <c r="Q23" s="518"/>
      <c r="R23" s="529"/>
      <c r="S23" s="529"/>
      <c r="T23" s="529"/>
      <c r="U23" s="529"/>
      <c r="V23" s="529"/>
      <c r="W23" s="529"/>
      <c r="X23" s="529"/>
      <c r="Y23" s="529"/>
      <c r="Z23" s="529"/>
      <c r="AA23" s="529"/>
      <c r="AB23" s="529"/>
      <c r="AC23" s="529"/>
      <c r="AD23" s="529"/>
      <c r="AE23" s="529"/>
      <c r="AF23" s="529"/>
      <c r="AG23" s="529"/>
      <c r="AH23" s="529"/>
      <c r="AI23" s="529"/>
      <c r="AJ23" s="529"/>
      <c r="AK23" s="529"/>
      <c r="AL23" s="529"/>
      <c r="AM23" s="529"/>
      <c r="AN23" s="529"/>
      <c r="AO23" s="516"/>
      <c r="AP23" s="516"/>
      <c r="AQ23" s="516"/>
      <c r="AR23" s="520"/>
      <c r="AS23" s="520"/>
      <c r="AT23" s="520"/>
      <c r="AU23" s="520"/>
      <c r="AV23" s="520"/>
      <c r="AW23" s="520"/>
      <c r="AX23" s="520"/>
      <c r="AY23" s="520"/>
      <c r="AZ23" s="520"/>
      <c r="BA23" s="520"/>
      <c r="BB23" s="520"/>
      <c r="BC23" s="520"/>
      <c r="BD23" s="508"/>
      <c r="BE23" s="508"/>
      <c r="BF23" s="13"/>
    </row>
    <row r="24" spans="1:58" s="30" customFormat="1">
      <c r="A24" s="13"/>
      <c r="B24" s="391" t="s">
        <v>188</v>
      </c>
      <c r="C24" s="391"/>
      <c r="D24" s="391"/>
      <c r="E24" s="391"/>
      <c r="F24" s="391"/>
      <c r="G24" s="391"/>
      <c r="H24" s="391"/>
      <c r="I24" s="391"/>
      <c r="J24" s="391"/>
      <c r="K24" s="391"/>
      <c r="L24" s="391"/>
      <c r="M24" s="391"/>
      <c r="N24" s="391"/>
      <c r="O24" s="391"/>
      <c r="P24" s="391"/>
      <c r="Q24" s="391"/>
      <c r="R24" s="333"/>
      <c r="S24" s="333"/>
      <c r="T24" s="333"/>
      <c r="U24" s="333"/>
      <c r="V24" s="333"/>
      <c r="W24" s="333"/>
      <c r="X24" s="333"/>
      <c r="Y24" s="333"/>
      <c r="Z24" s="333"/>
      <c r="AA24" s="333"/>
      <c r="AB24" s="333"/>
      <c r="AC24" s="333"/>
      <c r="AD24" s="333"/>
      <c r="AE24" s="333"/>
      <c r="AF24" s="333"/>
      <c r="AG24" s="333"/>
      <c r="AH24" s="333"/>
      <c r="AI24" s="333"/>
      <c r="AJ24" s="333"/>
      <c r="AK24" s="333"/>
      <c r="AL24" s="333"/>
      <c r="AM24" s="333"/>
      <c r="AN24" s="333"/>
      <c r="AO24" s="392"/>
      <c r="AP24" s="392"/>
      <c r="AQ24" s="392"/>
      <c r="AR24" s="99"/>
      <c r="AS24" s="460" t="s">
        <v>793</v>
      </c>
      <c r="AT24" s="99"/>
      <c r="AU24" s="99"/>
      <c r="AV24" s="99"/>
      <c r="AW24" s="99"/>
      <c r="AX24" s="99"/>
      <c r="AY24" s="99"/>
      <c r="AZ24" s="99"/>
      <c r="BA24" s="99"/>
      <c r="BB24" s="99"/>
      <c r="BC24" s="99"/>
      <c r="BD24" s="13"/>
      <c r="BE24" s="13"/>
      <c r="BF24" s="13"/>
    </row>
    <row r="25" spans="1:58">
      <c r="A25" s="2" t="s">
        <v>755</v>
      </c>
      <c r="B25" s="348">
        <v>10410</v>
      </c>
      <c r="C25" s="348">
        <v>11042</v>
      </c>
      <c r="D25" s="348">
        <v>11881</v>
      </c>
      <c r="E25" s="348">
        <v>11208.792946000001</v>
      </c>
      <c r="F25" s="348">
        <v>11905.889395</v>
      </c>
      <c r="G25" s="348">
        <v>13933.743948000001</v>
      </c>
      <c r="H25" s="348">
        <v>14219.062184</v>
      </c>
      <c r="I25" s="348">
        <v>13143.414496999992</v>
      </c>
      <c r="J25" s="348">
        <v>14036.021868</v>
      </c>
      <c r="K25" s="348">
        <v>16825.191813999998</v>
      </c>
      <c r="L25" s="348">
        <v>16195.206771000001</v>
      </c>
      <c r="M25" s="348">
        <v>16304.868281000006</v>
      </c>
      <c r="N25" s="348">
        <v>16110.559665999999</v>
      </c>
      <c r="O25" s="348">
        <v>17037.48027</v>
      </c>
      <c r="P25" s="348">
        <v>16177.253602999999</v>
      </c>
      <c r="Q25" s="348">
        <v>17805.055362999999</v>
      </c>
      <c r="R25" s="338">
        <v>24279.813284000003</v>
      </c>
      <c r="S25" s="338">
        <v>25003.701047000002</v>
      </c>
      <c r="T25" s="338">
        <v>24043.406259999996</v>
      </c>
      <c r="U25" s="338">
        <v>23666.291827000015</v>
      </c>
      <c r="V25" s="338">
        <v>26793.237506999998</v>
      </c>
      <c r="W25" s="338">
        <v>29816.443298414015</v>
      </c>
      <c r="X25" s="338">
        <v>27050.018041204981</v>
      </c>
      <c r="Y25" s="338">
        <v>25769.647827918991</v>
      </c>
      <c r="Z25" s="338">
        <v>27872</v>
      </c>
      <c r="AA25" s="338">
        <v>28313</v>
      </c>
      <c r="AB25" s="338">
        <v>29099</v>
      </c>
      <c r="AC25" s="337">
        <v>28282</v>
      </c>
      <c r="AD25" s="337">
        <v>29923.388023309002</v>
      </c>
      <c r="AE25" s="338">
        <v>33458.333936187002</v>
      </c>
      <c r="AF25" s="337">
        <v>31116.057515754976</v>
      </c>
      <c r="AG25" s="337">
        <v>30039.899712763028</v>
      </c>
      <c r="AH25" s="337">
        <v>32080.417566606</v>
      </c>
      <c r="AI25" s="337">
        <v>33312</v>
      </c>
      <c r="AJ25" s="337">
        <v>33176.344185077003</v>
      </c>
      <c r="AK25" s="337">
        <v>33762.460538964995</v>
      </c>
      <c r="AL25" s="337">
        <v>35019.394650412993</v>
      </c>
      <c r="AM25" s="337">
        <v>35820.581256796992</v>
      </c>
      <c r="AN25" s="337">
        <v>36214.320874482997</v>
      </c>
      <c r="AO25" s="337">
        <v>37020.960182455041</v>
      </c>
      <c r="AP25" s="337">
        <v>37893.218485680001</v>
      </c>
      <c r="AQ25" s="337">
        <v>39953</v>
      </c>
      <c r="AR25" s="285">
        <v>41058.526125466982</v>
      </c>
      <c r="AS25" s="285">
        <v>41798.319524299972</v>
      </c>
      <c r="AT25" s="285">
        <v>43656.237966409004</v>
      </c>
      <c r="AU25" s="285">
        <v>46645.534046103006</v>
      </c>
      <c r="AV25" s="285">
        <v>47779.058184985988</v>
      </c>
      <c r="AW25" s="285">
        <v>47849.530726049976</v>
      </c>
      <c r="AX25" s="285">
        <v>50545.195438034993</v>
      </c>
      <c r="AY25" s="285">
        <v>51100.110061839005</v>
      </c>
      <c r="AZ25" s="285">
        <v>51948.010027724027</v>
      </c>
      <c r="BA25" s="285">
        <v>54616.101027068944</v>
      </c>
      <c r="BB25" s="285">
        <v>54765</v>
      </c>
      <c r="BC25" s="285">
        <v>56555</v>
      </c>
      <c r="BD25" s="15"/>
      <c r="BE25" s="2"/>
      <c r="BF25" s="2"/>
    </row>
    <row r="26" spans="1:58">
      <c r="A26" s="2" t="s">
        <v>754</v>
      </c>
      <c r="B26" s="348">
        <v>2303</v>
      </c>
      <c r="C26" s="348">
        <v>2371</v>
      </c>
      <c r="D26" s="348">
        <v>2008</v>
      </c>
      <c r="E26" s="348">
        <v>1630.6641220000047</v>
      </c>
      <c r="F26" s="348">
        <v>1962.8159879999998</v>
      </c>
      <c r="G26" s="348">
        <v>2147.9859830000009</v>
      </c>
      <c r="H26" s="348">
        <v>2297.7382050000037</v>
      </c>
      <c r="I26" s="348">
        <v>2952.4043179999921</v>
      </c>
      <c r="J26" s="348">
        <v>2764.6532679999991</v>
      </c>
      <c r="K26" s="348">
        <v>3242.7247629999993</v>
      </c>
      <c r="L26" s="348">
        <v>4138.6221059999971</v>
      </c>
      <c r="M26" s="348">
        <v>3661.4259800000054</v>
      </c>
      <c r="N26" s="348">
        <v>3223.031563999999</v>
      </c>
      <c r="O26" s="348">
        <v>4102.3065290453078</v>
      </c>
      <c r="P26" s="348">
        <v>3567.568563161537</v>
      </c>
      <c r="Q26" s="348">
        <v>3078.5376470612455</v>
      </c>
      <c r="R26" s="338">
        <v>6892.5315600000049</v>
      </c>
      <c r="S26" s="338">
        <v>7880.1648430000023</v>
      </c>
      <c r="T26" s="338">
        <v>7511.3955169999917</v>
      </c>
      <c r="U26" s="338">
        <v>8043.2942210000201</v>
      </c>
      <c r="V26" s="338">
        <v>7732.7619159999977</v>
      </c>
      <c r="W26" s="338">
        <v>8440.1476352050158</v>
      </c>
      <c r="X26" s="338">
        <v>8287.2352387639785</v>
      </c>
      <c r="Y26" s="338">
        <v>9423.9507818149905</v>
      </c>
      <c r="Z26" s="338">
        <v>9342.4755732199992</v>
      </c>
      <c r="AA26" s="338">
        <v>9881</v>
      </c>
      <c r="AB26" s="338">
        <v>11654.129906513004</v>
      </c>
      <c r="AC26" s="337">
        <v>11418.094110540016</v>
      </c>
      <c r="AD26" s="337">
        <v>10425.287211888002</v>
      </c>
      <c r="AE26" s="338">
        <v>10758.819605810984</v>
      </c>
      <c r="AF26" s="337">
        <v>9874.4238554099884</v>
      </c>
      <c r="AG26" s="337">
        <v>9586.7881703230541</v>
      </c>
      <c r="AH26" s="337">
        <v>7655.1305078320092</v>
      </c>
      <c r="AI26" s="337">
        <v>9366</v>
      </c>
      <c r="AJ26" s="337">
        <v>12125.214719066998</v>
      </c>
      <c r="AK26" s="337">
        <v>13466.498654933986</v>
      </c>
      <c r="AL26" s="337">
        <v>12710.870055566998</v>
      </c>
      <c r="AM26" s="337">
        <v>13377.363453294993</v>
      </c>
      <c r="AN26" s="337">
        <v>14017.881118295978</v>
      </c>
      <c r="AO26" s="337">
        <v>14867.042365331066</v>
      </c>
      <c r="AP26" s="337">
        <v>14684.871011025001</v>
      </c>
      <c r="AQ26" s="337">
        <v>15922</v>
      </c>
      <c r="AR26" s="285">
        <v>15823.695888786993</v>
      </c>
      <c r="AS26" s="285">
        <v>16450.991253124972</v>
      </c>
      <c r="AT26" s="285">
        <v>17011.212316893005</v>
      </c>
      <c r="AU26" s="285">
        <v>18293.413502946998</v>
      </c>
      <c r="AV26" s="285">
        <v>19049.598001704137</v>
      </c>
      <c r="AW26" s="285">
        <v>19680.07435161803</v>
      </c>
      <c r="AX26" s="285">
        <v>19979.335158333994</v>
      </c>
      <c r="AY26" s="285">
        <v>20577.683013659003</v>
      </c>
      <c r="AZ26" s="285">
        <v>20625.113802918018</v>
      </c>
      <c r="BA26" s="285">
        <v>20830.155666282943</v>
      </c>
      <c r="BB26" s="285">
        <v>19855</v>
      </c>
      <c r="BC26" s="285">
        <v>20208</v>
      </c>
      <c r="BD26" s="15"/>
      <c r="BE26" s="2"/>
      <c r="BF26" s="2"/>
    </row>
    <row r="27" spans="1:58" s="34" customFormat="1">
      <c r="A27" s="4" t="s">
        <v>342</v>
      </c>
      <c r="B27" s="326"/>
      <c r="C27" s="326"/>
      <c r="D27" s="326"/>
      <c r="E27" s="393">
        <v>0.14548079617992477</v>
      </c>
      <c r="F27" s="393">
        <v>0.16486092914858627</v>
      </c>
      <c r="G27" s="393">
        <v>0.15415713041779522</v>
      </c>
      <c r="H27" s="393">
        <v>0.16159562250072537</v>
      </c>
      <c r="I27" s="393">
        <v>0.22462993301123416</v>
      </c>
      <c r="J27" s="393">
        <v>0.19696843550115786</v>
      </c>
      <c r="K27" s="393">
        <v>0.19273032954677968</v>
      </c>
      <c r="L27" s="393">
        <v>0.25554611092776131</v>
      </c>
      <c r="M27" s="393">
        <v>0.22456029186489349</v>
      </c>
      <c r="N27" s="393">
        <v>0.20005708248621182</v>
      </c>
      <c r="O27" s="393">
        <v>0.24078129301013756</v>
      </c>
      <c r="P27" s="393">
        <v>0.22052992743465105</v>
      </c>
      <c r="Q27" s="393">
        <v>0.17290244732732682</v>
      </c>
      <c r="R27" s="331">
        <v>0.28387910069069888</v>
      </c>
      <c r="S27" s="331">
        <v>0.31515993685044802</v>
      </c>
      <c r="T27" s="331">
        <v>0.31240979068329366</v>
      </c>
      <c r="U27" s="331">
        <v>0.339862885144673</v>
      </c>
      <c r="V27" s="331">
        <v>0.28860871755344003</v>
      </c>
      <c r="W27" s="331">
        <v>0.28307023580018886</v>
      </c>
      <c r="X27" s="331">
        <v>0.30636708730249751</v>
      </c>
      <c r="Y27" s="331">
        <v>0.36569963411005663</v>
      </c>
      <c r="Z27" s="331">
        <v>0.33621923406605414</v>
      </c>
      <c r="AA27" s="331">
        <v>0.35</v>
      </c>
      <c r="AB27" s="331">
        <v>0.40179044495832783</v>
      </c>
      <c r="AC27" s="332">
        <v>0.40497306814050149</v>
      </c>
      <c r="AD27" s="332">
        <v>0.34839929234507677</v>
      </c>
      <c r="AE27" s="331">
        <v>0.32155873709463872</v>
      </c>
      <c r="AF27" s="332">
        <v>0.31734174068839782</v>
      </c>
      <c r="AG27" s="332">
        <v>0.31913515897158351</v>
      </c>
      <c r="AH27" s="332">
        <v>0.2386231566948365</v>
      </c>
      <c r="AI27" s="332">
        <v>0.28199999999999997</v>
      </c>
      <c r="AJ27" s="332">
        <v>0.36547772266363882</v>
      </c>
      <c r="AK27" s="332">
        <v>0.39886010794125637</v>
      </c>
      <c r="AL27" s="332">
        <v>0.36296658415873262</v>
      </c>
      <c r="AM27" s="332">
        <v>0.37345467281485345</v>
      </c>
      <c r="AN27" s="332">
        <v>0.38708115407938326</v>
      </c>
      <c r="AO27" s="332">
        <v>0.40158446166874001</v>
      </c>
      <c r="AP27" s="332">
        <v>0.38753295702698026</v>
      </c>
      <c r="AQ27" s="332">
        <v>0.39900000000000002</v>
      </c>
      <c r="AR27" s="287">
        <v>0.38539366562825011</v>
      </c>
      <c r="AS27" s="287">
        <v>0.39358020705978347</v>
      </c>
      <c r="AT27" s="287">
        <v>0.38966280901213168</v>
      </c>
      <c r="AU27" s="287">
        <v>0.39217931313352211</v>
      </c>
      <c r="AV27" s="287">
        <v>0.39870183141638926</v>
      </c>
      <c r="AW27" s="287">
        <v>0.41129085391226028</v>
      </c>
      <c r="AX27" s="287">
        <v>0.39527664271923357</v>
      </c>
      <c r="AY27" s="287">
        <v>0.40269351648669321</v>
      </c>
      <c r="AZ27" s="287">
        <v>0.39703376109904198</v>
      </c>
      <c r="BA27" s="287">
        <v>0.38139221355180697</v>
      </c>
      <c r="BB27" s="287">
        <v>0.36254907331324754</v>
      </c>
      <c r="BC27" s="287">
        <v>0.35731588718946161</v>
      </c>
      <c r="BD27" s="39"/>
      <c r="BE27" s="4"/>
      <c r="BF27" s="100"/>
    </row>
    <row r="28" spans="1:58">
      <c r="A28" s="2" t="s">
        <v>38</v>
      </c>
      <c r="B28" s="394"/>
      <c r="C28" s="394"/>
      <c r="D28" s="394"/>
      <c r="E28" s="348">
        <v>181.07814640902097</v>
      </c>
      <c r="F28" s="348">
        <v>590.73982699999942</v>
      </c>
      <c r="G28" s="348">
        <v>770.11840299999767</v>
      </c>
      <c r="H28" s="348">
        <v>888.3888840000061</v>
      </c>
      <c r="I28" s="348">
        <v>1443.790122999992</v>
      </c>
      <c r="J28" s="348">
        <v>1421.9017819999985</v>
      </c>
      <c r="K28" s="348">
        <v>1844.4910749999976</v>
      </c>
      <c r="L28" s="348">
        <v>2675.9448840000027</v>
      </c>
      <c r="M28" s="348">
        <v>2135.7198509999989</v>
      </c>
      <c r="N28" s="348">
        <v>1754.8272969999998</v>
      </c>
      <c r="O28" s="348">
        <v>2487.4174506700047</v>
      </c>
      <c r="P28" s="348">
        <v>1928.3755999999921</v>
      </c>
      <c r="Q28" s="348">
        <v>1542.5514840000033</v>
      </c>
      <c r="R28" s="338">
        <v>4068.645524000005</v>
      </c>
      <c r="S28" s="338">
        <v>5034.6933210000025</v>
      </c>
      <c r="T28" s="338">
        <v>4645.1043789999912</v>
      </c>
      <c r="U28" s="338">
        <v>5104.303078000019</v>
      </c>
      <c r="V28" s="338">
        <v>4695.1862619999974</v>
      </c>
      <c r="W28" s="338">
        <v>6113.7891934330164</v>
      </c>
      <c r="X28" s="338">
        <v>5383.9383019979759</v>
      </c>
      <c r="Y28" s="338">
        <v>6544.5279442529936</v>
      </c>
      <c r="Z28" s="338">
        <v>6483.0556427399988</v>
      </c>
      <c r="AA28" s="338">
        <v>7310</v>
      </c>
      <c r="AB28" s="338">
        <v>8849.6401611950023</v>
      </c>
      <c r="AC28" s="337">
        <v>8400.887754406016</v>
      </c>
      <c r="AD28" s="337">
        <v>7434.7684142520029</v>
      </c>
      <c r="AE28" s="338">
        <v>7741.4306967439825</v>
      </c>
      <c r="AF28" s="337">
        <v>6666.5666675999892</v>
      </c>
      <c r="AG28" s="337">
        <v>5623.49464145405</v>
      </c>
      <c r="AH28" s="337">
        <v>6148.7097191060093</v>
      </c>
      <c r="AI28" s="337">
        <v>7706</v>
      </c>
      <c r="AJ28" s="337">
        <v>8074.7893501649996</v>
      </c>
      <c r="AK28" s="337">
        <v>9823.9481651209862</v>
      </c>
      <c r="AL28" s="337">
        <v>8869.2797279019978</v>
      </c>
      <c r="AM28" s="337">
        <v>9633.3097846169949</v>
      </c>
      <c r="AN28" s="337">
        <v>10219.589188533977</v>
      </c>
      <c r="AO28" s="337">
        <v>11027.93854908206</v>
      </c>
      <c r="AP28" s="337">
        <v>10471.736718625001</v>
      </c>
      <c r="AQ28" s="337">
        <v>11500</v>
      </c>
      <c r="AR28" s="285">
        <v>11288.446055348988</v>
      </c>
      <c r="AS28" s="285">
        <v>11682.383075144975</v>
      </c>
      <c r="AT28" s="285">
        <v>12227.803110854004</v>
      </c>
      <c r="AU28" s="285">
        <v>13280.550671331001</v>
      </c>
      <c r="AV28" s="285">
        <v>14107.276154655057</v>
      </c>
      <c r="AW28" s="285">
        <v>14748.6317643531</v>
      </c>
      <c r="AX28" s="285">
        <v>14783.269801792994</v>
      </c>
      <c r="AY28" s="285">
        <v>15287.373095190003</v>
      </c>
      <c r="AZ28" s="285">
        <v>15006.320007163016</v>
      </c>
      <c r="BA28" s="285">
        <v>15127.727211929934</v>
      </c>
      <c r="BB28" s="285">
        <v>14330</v>
      </c>
      <c r="BC28" s="285">
        <v>14441</v>
      </c>
      <c r="BD28" s="15"/>
      <c r="BE28" s="2"/>
      <c r="BF28" s="2"/>
    </row>
    <row r="29" spans="1:58">
      <c r="A29" s="2" t="s">
        <v>39</v>
      </c>
      <c r="B29" s="348">
        <v>933</v>
      </c>
      <c r="C29" s="348">
        <v>116</v>
      </c>
      <c r="D29" s="348">
        <v>458</v>
      </c>
      <c r="E29" s="348">
        <v>337.85009599999921</v>
      </c>
      <c r="F29" s="348">
        <v>166.03231400000004</v>
      </c>
      <c r="G29" s="348">
        <v>457.76588200000015</v>
      </c>
      <c r="H29" s="348">
        <v>139.12488686091979</v>
      </c>
      <c r="I29" s="348">
        <v>38.124577844800022</v>
      </c>
      <c r="J29" s="348">
        <v>280.930836</v>
      </c>
      <c r="K29" s="348">
        <v>142.16910099999996</v>
      </c>
      <c r="L29" s="348">
        <v>242.40881100000092</v>
      </c>
      <c r="M29" s="348">
        <v>699.71837400656864</v>
      </c>
      <c r="N29" s="348">
        <v>115.216615</v>
      </c>
      <c r="O29" s="348">
        <v>328.240207</v>
      </c>
      <c r="P29" s="348">
        <v>366.82654200000002</v>
      </c>
      <c r="Q29" s="348">
        <v>371.05698599999994</v>
      </c>
      <c r="R29" s="338">
        <v>785.11631399999999</v>
      </c>
      <c r="S29" s="338">
        <v>1131.5241829999998</v>
      </c>
      <c r="T29" s="338">
        <v>2029.4992910000001</v>
      </c>
      <c r="U29" s="338">
        <v>1608.2433460000002</v>
      </c>
      <c r="V29" s="338">
        <v>1936.5914589999998</v>
      </c>
      <c r="W29" s="338">
        <v>1506.6088183950005</v>
      </c>
      <c r="X29" s="338">
        <v>1239.3418425250075</v>
      </c>
      <c r="Y29" s="338">
        <v>2217.9163799469934</v>
      </c>
      <c r="Z29" s="338">
        <v>2152.8850687969998</v>
      </c>
      <c r="AA29" s="338">
        <v>1532</v>
      </c>
      <c r="AB29" s="338">
        <v>822.59960378600158</v>
      </c>
      <c r="AC29" s="337">
        <v>4211.2985415849989</v>
      </c>
      <c r="AD29" s="337">
        <v>1395.5732355370001</v>
      </c>
      <c r="AE29" s="338">
        <v>2867.676249746999</v>
      </c>
      <c r="AF29" s="337">
        <v>8687.7978283900047</v>
      </c>
      <c r="AG29" s="337">
        <v>1385.3257196997927</v>
      </c>
      <c r="AH29" s="337">
        <v>1155.2415951474004</v>
      </c>
      <c r="AI29" s="337">
        <v>2620</v>
      </c>
      <c r="AJ29" s="337">
        <v>7627.5943302105006</v>
      </c>
      <c r="AK29" s="337">
        <v>18813.989587486863</v>
      </c>
      <c r="AL29" s="337">
        <v>4187.8794226710888</v>
      </c>
      <c r="AM29" s="337">
        <v>5537.8631441685548</v>
      </c>
      <c r="AN29" s="337">
        <v>5223.2091083894711</v>
      </c>
      <c r="AO29" s="337">
        <v>7006.1731065480972</v>
      </c>
      <c r="AP29" s="337">
        <v>6567.1948093342417</v>
      </c>
      <c r="AQ29" s="337">
        <v>5622</v>
      </c>
      <c r="AR29" s="285">
        <v>8367.6731538505937</v>
      </c>
      <c r="AS29" s="285">
        <v>8478.3709194961175</v>
      </c>
      <c r="AT29" s="285">
        <v>6860.9199916155339</v>
      </c>
      <c r="AU29" s="285">
        <v>8792.3909420203145</v>
      </c>
      <c r="AV29" s="285">
        <v>7660.3561969238835</v>
      </c>
      <c r="AW29" s="285">
        <v>15598.857207101355</v>
      </c>
      <c r="AX29" s="285">
        <v>6139.765162952016</v>
      </c>
      <c r="AY29" s="285">
        <v>9602.8225627805477</v>
      </c>
      <c r="AZ29" s="285">
        <v>8549.9817881474719</v>
      </c>
      <c r="BA29" s="285">
        <v>13582.50675692424</v>
      </c>
      <c r="BB29" s="285">
        <v>8180.6547712228621</v>
      </c>
      <c r="BC29" s="285">
        <v>9006.1766218993525</v>
      </c>
      <c r="BD29" s="15"/>
      <c r="BE29" s="2"/>
      <c r="BF29" s="2"/>
    </row>
    <row r="30" spans="1:58">
      <c r="A30" s="2" t="s">
        <v>761</v>
      </c>
      <c r="B30" s="394"/>
      <c r="C30" s="394"/>
      <c r="D30" s="394"/>
      <c r="E30" s="348">
        <v>1292.8140260000055</v>
      </c>
      <c r="F30" s="348">
        <v>1796.7836739999998</v>
      </c>
      <c r="G30" s="348">
        <v>1690.2201010000008</v>
      </c>
      <c r="H30" s="348">
        <v>2158.6133181390842</v>
      </c>
      <c r="I30" s="348">
        <v>2914.279740155192</v>
      </c>
      <c r="J30" s="348">
        <v>2483.7224319999991</v>
      </c>
      <c r="K30" s="348">
        <v>3100.5556619999993</v>
      </c>
      <c r="L30" s="348">
        <v>3896.613294999996</v>
      </c>
      <c r="M30" s="348">
        <v>2961.707605993437</v>
      </c>
      <c r="N30" s="348">
        <v>3107.8149489999992</v>
      </c>
      <c r="O30" s="348">
        <v>3774.066322045308</v>
      </c>
      <c r="P30" s="348">
        <v>3200.7420211615372</v>
      </c>
      <c r="Q30" s="348">
        <v>2707.4806610612454</v>
      </c>
      <c r="R30" s="338">
        <v>6107.415246000005</v>
      </c>
      <c r="S30" s="338">
        <v>6748.6406600000028</v>
      </c>
      <c r="T30" s="338">
        <v>5481.8962259999917</v>
      </c>
      <c r="U30" s="338">
        <v>6435.0508750000199</v>
      </c>
      <c r="V30" s="338">
        <v>5796.1704569999984</v>
      </c>
      <c r="W30" s="338">
        <v>6933.5388168100153</v>
      </c>
      <c r="X30" s="338">
        <v>7047.893396238971</v>
      </c>
      <c r="Y30" s="338">
        <v>7206.0344018679971</v>
      </c>
      <c r="Z30" s="338">
        <v>7189.5905044229994</v>
      </c>
      <c r="AA30" s="338">
        <v>8349</v>
      </c>
      <c r="AB30" s="338">
        <v>10831.530302727002</v>
      </c>
      <c r="AC30" s="337">
        <v>7206.7955689550172</v>
      </c>
      <c r="AD30" s="337">
        <v>9029.7139763510022</v>
      </c>
      <c r="AE30" s="338">
        <v>7891.1433560639853</v>
      </c>
      <c r="AF30" s="337">
        <v>1186.6260270199837</v>
      </c>
      <c r="AG30" s="337">
        <v>8201.4624506232612</v>
      </c>
      <c r="AH30" s="337">
        <v>6499.8889126846088</v>
      </c>
      <c r="AI30" s="337">
        <v>6776</v>
      </c>
      <c r="AJ30" s="337">
        <v>4497.6203888564978</v>
      </c>
      <c r="AK30" s="337">
        <v>-5347.490932552877</v>
      </c>
      <c r="AL30" s="337">
        <v>8522.9906328959096</v>
      </c>
      <c r="AM30" s="337">
        <v>7839.500309126438</v>
      </c>
      <c r="AN30" s="337">
        <v>8794.672009906506</v>
      </c>
      <c r="AO30" s="337">
        <v>7860.8692587829692</v>
      </c>
      <c r="AP30" s="337">
        <v>8117.6762016907596</v>
      </c>
      <c r="AQ30" s="337">
        <v>10301</v>
      </c>
      <c r="AR30" s="285">
        <v>7456.0227349363995</v>
      </c>
      <c r="AS30" s="285">
        <v>7972.6203336288545</v>
      </c>
      <c r="AT30" s="285">
        <v>10150.292325277471</v>
      </c>
      <c r="AU30" s="285">
        <v>9501.0225609266836</v>
      </c>
      <c r="AV30" s="285">
        <v>11389.241804780253</v>
      </c>
      <c r="AW30" s="285">
        <v>4081.217144516675</v>
      </c>
      <c r="AX30" s="285">
        <v>13839.569995381979</v>
      </c>
      <c r="AY30" s="285">
        <v>10974.860450878456</v>
      </c>
      <c r="AZ30" s="285">
        <v>12075.132014770546</v>
      </c>
      <c r="BA30" s="285">
        <v>7247.6489093587024</v>
      </c>
      <c r="BB30" s="285">
        <v>11674.345228777138</v>
      </c>
      <c r="BC30" s="285">
        <v>11201.823378100647</v>
      </c>
      <c r="BD30" s="15"/>
      <c r="BE30" s="2"/>
      <c r="BF30" s="2"/>
    </row>
    <row r="31" spans="1:58">
      <c r="A31" s="2" t="s">
        <v>346</v>
      </c>
      <c r="B31" s="394"/>
      <c r="C31" s="394"/>
      <c r="D31" s="394"/>
      <c r="E31" s="348">
        <v>42493.082824005913</v>
      </c>
      <c r="F31" s="348">
        <v>42926.923355775347</v>
      </c>
      <c r="G31" s="348">
        <v>42268.371763005918</v>
      </c>
      <c r="H31" s="348">
        <v>42806.243332005906</v>
      </c>
      <c r="I31" s="348">
        <v>43135.976693005927</v>
      </c>
      <c r="J31" s="348">
        <v>42885.746879005907</v>
      </c>
      <c r="K31" s="348">
        <v>44718.516364005918</v>
      </c>
      <c r="L31" s="348">
        <v>44612.296972005912</v>
      </c>
      <c r="M31" s="348">
        <v>48279.372402005924</v>
      </c>
      <c r="N31" s="348">
        <v>48574.345456614734</v>
      </c>
      <c r="O31" s="348">
        <v>49707.840458614723</v>
      </c>
      <c r="P31" s="348">
        <v>50796.711286614722</v>
      </c>
      <c r="Q31" s="348">
        <v>50880.72724000593</v>
      </c>
      <c r="R31" s="338">
        <v>79678.453897005951</v>
      </c>
      <c r="S31" s="338">
        <v>81855.156326725948</v>
      </c>
      <c r="T31" s="338">
        <v>83607.432562875925</v>
      </c>
      <c r="U31" s="338">
        <v>85914.310710645921</v>
      </c>
      <c r="V31" s="338">
        <v>87680.093061995911</v>
      </c>
      <c r="W31" s="338">
        <v>87874.390234308041</v>
      </c>
      <c r="X31" s="338">
        <v>89830.507858894096</v>
      </c>
      <c r="Y31" s="338">
        <v>91982.212112050052</v>
      </c>
      <c r="Z31" s="338">
        <v>93478.790099450067</v>
      </c>
      <c r="AA31" s="338">
        <v>93755</v>
      </c>
      <c r="AB31" s="338">
        <v>95020.400985875007</v>
      </c>
      <c r="AC31" s="337">
        <v>96310.684336924984</v>
      </c>
      <c r="AD31" s="337">
        <v>114751.07867369067</v>
      </c>
      <c r="AE31" s="338">
        <v>119145.7004537</v>
      </c>
      <c r="AF31" s="337">
        <v>126988.11565136502</v>
      </c>
      <c r="AG31" s="337">
        <v>129829.39831063995</v>
      </c>
      <c r="AH31" s="337">
        <v>105826.24078607999</v>
      </c>
      <c r="AI31" s="337">
        <v>107229</v>
      </c>
      <c r="AJ31" s="337">
        <v>160565.3680938</v>
      </c>
      <c r="AK31" s="337">
        <v>182901.69454154998</v>
      </c>
      <c r="AL31" s="337">
        <v>186502.61868808398</v>
      </c>
      <c r="AM31" s="337">
        <v>190494.34460499501</v>
      </c>
      <c r="AN31" s="337">
        <v>193947.23148548004</v>
      </c>
      <c r="AO31" s="337">
        <v>197129.52708718501</v>
      </c>
      <c r="AP31" s="337">
        <v>217150.49897449999</v>
      </c>
      <c r="AQ31" s="337">
        <v>221049</v>
      </c>
      <c r="AR31" s="285">
        <v>228084.97084592</v>
      </c>
      <c r="AS31" s="285">
        <v>234615.01397217499</v>
      </c>
      <c r="AT31" s="285">
        <v>242449.15248487631</v>
      </c>
      <c r="AU31" s="285">
        <v>251550.22910673</v>
      </c>
      <c r="AV31" s="285">
        <v>280014.62824602099</v>
      </c>
      <c r="AW31" s="285">
        <v>291371.86578830902</v>
      </c>
      <c r="AX31" s="285">
        <v>298609.45165093406</v>
      </c>
      <c r="AY31" s="285">
        <v>306320.80032496597</v>
      </c>
      <c r="AZ31" s="285">
        <v>313280.71210404806</v>
      </c>
      <c r="BA31" s="285">
        <v>328229.87217839604</v>
      </c>
      <c r="BB31" s="285">
        <v>336571.54714540002</v>
      </c>
      <c r="BC31" s="285">
        <v>343975.90947839996</v>
      </c>
      <c r="BD31" s="15"/>
      <c r="BE31" s="2"/>
      <c r="BF31" s="2"/>
    </row>
    <row r="32" spans="1:58">
      <c r="A32" s="2"/>
      <c r="B32" s="329"/>
      <c r="C32" s="329"/>
      <c r="D32" s="329"/>
      <c r="E32" s="329"/>
      <c r="F32" s="329"/>
      <c r="G32" s="329"/>
      <c r="H32" s="329"/>
      <c r="I32" s="329"/>
      <c r="J32" s="329"/>
      <c r="K32" s="329"/>
      <c r="L32" s="329"/>
      <c r="M32" s="329"/>
      <c r="N32" s="329"/>
      <c r="O32" s="329"/>
      <c r="P32" s="329"/>
      <c r="Q32" s="329"/>
      <c r="R32" s="338"/>
      <c r="S32" s="338"/>
      <c r="T32" s="338"/>
      <c r="U32" s="338"/>
      <c r="V32" s="338"/>
      <c r="W32" s="338"/>
      <c r="X32" s="338"/>
      <c r="Y32" s="338"/>
      <c r="Z32" s="338"/>
      <c r="AA32" s="338"/>
      <c r="AB32" s="338"/>
      <c r="AC32" s="337"/>
      <c r="AD32" s="337"/>
      <c r="AE32" s="338"/>
      <c r="AF32" s="337"/>
      <c r="AG32" s="337"/>
      <c r="AH32" s="337"/>
      <c r="AI32" s="337"/>
      <c r="AJ32" s="337"/>
      <c r="AK32" s="337"/>
      <c r="AL32" s="337"/>
      <c r="AM32" s="337"/>
      <c r="AN32" s="337"/>
      <c r="AO32" s="330"/>
      <c r="AP32" s="330"/>
      <c r="AQ32" s="330"/>
      <c r="AR32" s="54"/>
      <c r="AS32" s="54"/>
      <c r="AT32" s="54"/>
      <c r="AU32" s="54"/>
      <c r="AV32" s="54"/>
      <c r="AW32" s="54"/>
      <c r="AX32" s="54"/>
      <c r="AY32" s="54"/>
      <c r="AZ32" s="54"/>
      <c r="BA32" s="54"/>
      <c r="BB32" s="54"/>
      <c r="BC32" s="54"/>
      <c r="BD32" s="15"/>
      <c r="BE32" s="2"/>
      <c r="BF32" s="2"/>
    </row>
    <row r="33" spans="1:58" s="30" customFormat="1">
      <c r="A33" s="508" t="s">
        <v>42</v>
      </c>
      <c r="B33" s="518"/>
      <c r="C33" s="518"/>
      <c r="D33" s="518"/>
      <c r="E33" s="518"/>
      <c r="F33" s="518"/>
      <c r="G33" s="518"/>
      <c r="H33" s="518"/>
      <c r="I33" s="518"/>
      <c r="J33" s="518"/>
      <c r="K33" s="518"/>
      <c r="L33" s="518"/>
      <c r="M33" s="518"/>
      <c r="N33" s="518"/>
      <c r="O33" s="518"/>
      <c r="P33" s="518"/>
      <c r="Q33" s="518"/>
      <c r="R33" s="529"/>
      <c r="S33" s="529"/>
      <c r="T33" s="529"/>
      <c r="U33" s="529"/>
      <c r="V33" s="529"/>
      <c r="W33" s="529"/>
      <c r="X33" s="529"/>
      <c r="Y33" s="529"/>
      <c r="Z33" s="529"/>
      <c r="AA33" s="529"/>
      <c r="AB33" s="529"/>
      <c r="AC33" s="529"/>
      <c r="AD33" s="529"/>
      <c r="AE33" s="529"/>
      <c r="AF33" s="529"/>
      <c r="AG33" s="529"/>
      <c r="AH33" s="529"/>
      <c r="AI33" s="529"/>
      <c r="AJ33" s="529"/>
      <c r="AK33" s="529"/>
      <c r="AL33" s="529"/>
      <c r="AM33" s="529"/>
      <c r="AN33" s="529"/>
      <c r="AO33" s="516"/>
      <c r="AP33" s="516"/>
      <c r="AQ33" s="516"/>
      <c r="AR33" s="520"/>
      <c r="AS33" s="520"/>
      <c r="AT33" s="520"/>
      <c r="AU33" s="520"/>
      <c r="AV33" s="520"/>
      <c r="AW33" s="520"/>
      <c r="AX33" s="520"/>
      <c r="AY33" s="520"/>
      <c r="AZ33" s="520"/>
      <c r="BA33" s="520"/>
      <c r="BB33" s="520"/>
      <c r="BC33" s="520"/>
      <c r="BD33" s="508"/>
      <c r="BE33" s="508"/>
      <c r="BF33" s="13"/>
    </row>
    <row r="34" spans="1:58">
      <c r="A34" s="2" t="s">
        <v>340</v>
      </c>
      <c r="B34" s="338">
        <v>22767</v>
      </c>
      <c r="C34" s="338">
        <v>23766</v>
      </c>
      <c r="D34" s="338">
        <v>24393</v>
      </c>
      <c r="E34" s="338">
        <v>10156.908052620001</v>
      </c>
      <c r="F34" s="338">
        <v>10100.342232539999</v>
      </c>
      <c r="G34" s="338">
        <v>10738.054208699999</v>
      </c>
      <c r="H34" s="338">
        <v>11067.026785919998</v>
      </c>
      <c r="I34" s="338">
        <v>11419.2210111</v>
      </c>
      <c r="J34" s="338">
        <v>12832.094338000001</v>
      </c>
      <c r="K34" s="338">
        <v>12602.001690999999</v>
      </c>
      <c r="L34" s="338">
        <v>12592.159892000005</v>
      </c>
      <c r="M34" s="338">
        <v>13060.38097</v>
      </c>
      <c r="N34" s="338">
        <v>13327.863781</v>
      </c>
      <c r="O34" s="338">
        <v>13743.937688999998</v>
      </c>
      <c r="P34" s="338">
        <v>13692.119829000003</v>
      </c>
      <c r="Q34" s="338">
        <v>13517.699963999999</v>
      </c>
      <c r="R34" s="338">
        <v>13946.286115999999</v>
      </c>
      <c r="S34" s="338">
        <v>13908.117876</v>
      </c>
      <c r="T34" s="338">
        <v>13979.216162999999</v>
      </c>
      <c r="U34" s="338">
        <v>14147.919489000002</v>
      </c>
      <c r="V34" s="338">
        <v>14556.973023</v>
      </c>
      <c r="W34" s="338">
        <v>14962.475629999999</v>
      </c>
      <c r="X34" s="338">
        <v>15292.243836</v>
      </c>
      <c r="Y34" s="338">
        <v>16017.21091</v>
      </c>
      <c r="Z34" s="338">
        <v>15982.125169999999</v>
      </c>
      <c r="AA34" s="338">
        <v>16613</v>
      </c>
      <c r="AB34" s="338">
        <v>16949.719681000002</v>
      </c>
      <c r="AC34" s="337">
        <v>16738.811307999997</v>
      </c>
      <c r="AD34" s="337">
        <v>16949.453538000002</v>
      </c>
      <c r="AE34" s="338">
        <v>17205.610615999998</v>
      </c>
      <c r="AF34" s="337">
        <v>17325.258822000003</v>
      </c>
      <c r="AG34" s="337">
        <v>16705.129039999993</v>
      </c>
      <c r="AH34" s="337">
        <v>17261.687692</v>
      </c>
      <c r="AI34" s="337">
        <v>16674</v>
      </c>
      <c r="AJ34" s="337">
        <v>16662.105146000002</v>
      </c>
      <c r="AK34" s="337">
        <v>16825.546549999999</v>
      </c>
      <c r="AL34" s="337">
        <v>16420.748175000001</v>
      </c>
      <c r="AM34" s="337">
        <v>17663.259929</v>
      </c>
      <c r="AN34" s="395"/>
      <c r="AO34" s="395"/>
      <c r="AP34" s="395"/>
      <c r="AQ34" s="395"/>
      <c r="AR34" s="298"/>
      <c r="AS34" s="298"/>
      <c r="AT34" s="298"/>
      <c r="AU34" s="298"/>
      <c r="AV34" s="298"/>
      <c r="AW34" s="298"/>
      <c r="AX34" s="298"/>
      <c r="AY34" s="298"/>
      <c r="AZ34" s="298"/>
      <c r="BA34" s="298"/>
      <c r="BB34" s="298"/>
      <c r="BC34" s="298"/>
      <c r="BD34" s="15"/>
      <c r="BE34" s="2"/>
      <c r="BF34" s="2"/>
    </row>
    <row r="35" spans="1:58">
      <c r="A35" s="2" t="s">
        <v>37</v>
      </c>
      <c r="B35" s="338">
        <v>8585</v>
      </c>
      <c r="C35" s="338">
        <v>8902</v>
      </c>
      <c r="D35" s="338">
        <v>9110</v>
      </c>
      <c r="E35" s="338">
        <v>3925.5152869799999</v>
      </c>
      <c r="F35" s="338">
        <v>3690.8282640599987</v>
      </c>
      <c r="G35" s="338">
        <v>4022.2252921200015</v>
      </c>
      <c r="H35" s="338">
        <v>4099.5682715399935</v>
      </c>
      <c r="I35" s="338">
        <v>4382.6873235599987</v>
      </c>
      <c r="J35" s="338">
        <v>5745.3156920000001</v>
      </c>
      <c r="K35" s="338">
        <v>5420.5985600000022</v>
      </c>
      <c r="L35" s="338">
        <v>5344.0169769999993</v>
      </c>
      <c r="M35" s="338">
        <v>6340.1657220000016</v>
      </c>
      <c r="N35" s="338">
        <v>6072.8441559999992</v>
      </c>
      <c r="O35" s="338">
        <v>6355.4853419999981</v>
      </c>
      <c r="P35" s="338">
        <v>6549.9916770000036</v>
      </c>
      <c r="Q35" s="338">
        <v>6765.5202020000015</v>
      </c>
      <c r="R35" s="338">
        <v>6790.9632510000001</v>
      </c>
      <c r="S35" s="338">
        <v>6282.129965000001</v>
      </c>
      <c r="T35" s="338">
        <v>6590.3041179999982</v>
      </c>
      <c r="U35" s="338">
        <v>7088.4290570000012</v>
      </c>
      <c r="V35" s="338">
        <v>6837.9277280000015</v>
      </c>
      <c r="W35" s="338">
        <v>7105.5237369999986</v>
      </c>
      <c r="X35" s="338">
        <v>7290.922010000002</v>
      </c>
      <c r="Y35" s="338">
        <v>7942.9838569999965</v>
      </c>
      <c r="Z35" s="338">
        <v>7954.3698119999999</v>
      </c>
      <c r="AA35" s="338">
        <v>8130</v>
      </c>
      <c r="AB35" s="338">
        <v>8317.9803560000018</v>
      </c>
      <c r="AC35" s="337">
        <v>8144.1271499999966</v>
      </c>
      <c r="AD35" s="337">
        <v>7814.6625280000026</v>
      </c>
      <c r="AE35" s="338">
        <v>7968.1308879999924</v>
      </c>
      <c r="AF35" s="337">
        <v>8509.6172020000049</v>
      </c>
      <c r="AG35" s="337">
        <v>8167.0138709999956</v>
      </c>
      <c r="AH35" s="337">
        <v>10055.068471999999</v>
      </c>
      <c r="AI35" s="337">
        <v>9268</v>
      </c>
      <c r="AJ35" s="337">
        <v>8782.1744990000043</v>
      </c>
      <c r="AK35" s="337">
        <v>9031.6390199999987</v>
      </c>
      <c r="AL35" s="337">
        <v>8742.0220379999992</v>
      </c>
      <c r="AM35" s="337">
        <v>9293.0936160000001</v>
      </c>
      <c r="AN35" s="395"/>
      <c r="AO35" s="395"/>
      <c r="AP35" s="395"/>
      <c r="AQ35" s="395"/>
      <c r="AR35" s="298"/>
      <c r="AS35" s="298"/>
      <c r="AT35" s="298"/>
      <c r="AU35" s="298"/>
      <c r="AV35" s="298"/>
      <c r="AW35" s="298"/>
      <c r="AX35" s="298"/>
      <c r="AY35" s="298"/>
      <c r="AZ35" s="298"/>
      <c r="BA35" s="298"/>
      <c r="BB35" s="298"/>
      <c r="BC35" s="298"/>
      <c r="BD35" s="15"/>
      <c r="BE35" s="2"/>
      <c r="BF35" s="2"/>
    </row>
    <row r="36" spans="1:58" s="34" customFormat="1">
      <c r="A36" s="4" t="s">
        <v>342</v>
      </c>
      <c r="B36" s="326"/>
      <c r="C36" s="326"/>
      <c r="D36" s="326"/>
      <c r="E36" s="326">
        <f>E35/E34</f>
        <v>0.38648723279201125</v>
      </c>
      <c r="F36" s="326">
        <f t="shared" ref="F36:I36" si="0">F35/F34</f>
        <v>0.36541615908512065</v>
      </c>
      <c r="G36" s="326">
        <f t="shared" si="0"/>
        <v>0.37457673559341731</v>
      </c>
      <c r="H36" s="326">
        <f t="shared" si="0"/>
        <v>0.37043086195071478</v>
      </c>
      <c r="I36" s="326">
        <f t="shared" si="0"/>
        <v>0.3837991505112151</v>
      </c>
      <c r="J36" s="331">
        <v>0.44773016318826875</v>
      </c>
      <c r="K36" s="331">
        <v>0.43013790133604279</v>
      </c>
      <c r="L36" s="331">
        <v>0.4243924015287589</v>
      </c>
      <c r="M36" s="331">
        <v>0.48545028943363217</v>
      </c>
      <c r="N36" s="331">
        <v>0.45565022690713225</v>
      </c>
      <c r="O36" s="331">
        <v>0.4624209950461744</v>
      </c>
      <c r="P36" s="331">
        <v>0.47837674215551901</v>
      </c>
      <c r="Q36" s="331">
        <v>0.50049344341254542</v>
      </c>
      <c r="R36" s="331">
        <v>0.48693703789778181</v>
      </c>
      <c r="S36" s="331">
        <v>0.4516880012816481</v>
      </c>
      <c r="T36" s="331">
        <v>0.47143588318228646</v>
      </c>
      <c r="U36" s="331">
        <v>0.50102271662708076</v>
      </c>
      <c r="V36" s="331">
        <v>0.46973554991110333</v>
      </c>
      <c r="W36" s="331">
        <v>0.47488957794880626</v>
      </c>
      <c r="X36" s="331">
        <v>0.47677254483976972</v>
      </c>
      <c r="Y36" s="331">
        <v>0.49590305713218563</v>
      </c>
      <c r="Z36" s="331">
        <v>0.4977041368022273</v>
      </c>
      <c r="AA36" s="331">
        <v>0.48899999999999999</v>
      </c>
      <c r="AB36" s="331">
        <v>0.49074442011711528</v>
      </c>
      <c r="AC36" s="332">
        <v>0.48654154707554809</v>
      </c>
      <c r="AD36" s="332">
        <v>0.46105690136144151</v>
      </c>
      <c r="AE36" s="331">
        <v>0.46311235711624182</v>
      </c>
      <c r="AF36" s="332">
        <v>0.4911682584039842</v>
      </c>
      <c r="AG36" s="332">
        <v>0.48889259409156888</v>
      </c>
      <c r="AH36" s="332">
        <v>0.58250784346307349</v>
      </c>
      <c r="AI36" s="332">
        <v>0.55600000000000005</v>
      </c>
      <c r="AJ36" s="332">
        <v>0.52707472567524294</v>
      </c>
      <c r="AK36" s="332">
        <v>0.53678131602803714</v>
      </c>
      <c r="AL36" s="332">
        <v>0.53237659726792552</v>
      </c>
      <c r="AM36" s="332">
        <v>0.52612562196077728</v>
      </c>
      <c r="AN36" s="396"/>
      <c r="AO36" s="396"/>
      <c r="AP36" s="396"/>
      <c r="AQ36" s="396"/>
      <c r="AR36" s="299"/>
      <c r="AS36" s="299"/>
      <c r="AT36" s="299"/>
      <c r="AU36" s="299"/>
      <c r="AV36" s="299"/>
      <c r="AW36" s="299"/>
      <c r="AX36" s="299"/>
      <c r="AY36" s="299"/>
      <c r="AZ36" s="299"/>
      <c r="BA36" s="299"/>
      <c r="BB36" s="299"/>
      <c r="BC36" s="299"/>
      <c r="BD36" s="39"/>
      <c r="BE36" s="4"/>
      <c r="BF36" s="100"/>
    </row>
    <row r="37" spans="1:58">
      <c r="A37" s="2" t="s">
        <v>38</v>
      </c>
      <c r="B37" s="338">
        <v>8585</v>
      </c>
      <c r="C37" s="338">
        <v>8902</v>
      </c>
      <c r="D37" s="338">
        <v>9110</v>
      </c>
      <c r="E37" s="338">
        <v>1650.4994734200009</v>
      </c>
      <c r="F37" s="338">
        <v>1436.4952908599998</v>
      </c>
      <c r="G37" s="338">
        <v>1717.8341825399998</v>
      </c>
      <c r="H37" s="338">
        <v>1763.893063379996</v>
      </c>
      <c r="I37" s="338">
        <v>1954.5517433399925</v>
      </c>
      <c r="J37" s="338">
        <v>1916.3976000000005</v>
      </c>
      <c r="K37" s="338">
        <v>2722.2330370000009</v>
      </c>
      <c r="L37" s="338">
        <v>2738.7934820000019</v>
      </c>
      <c r="M37" s="338">
        <v>3773.9726129999954</v>
      </c>
      <c r="N37" s="338">
        <v>3367.6614530000002</v>
      </c>
      <c r="O37" s="338">
        <v>3578.6284029999993</v>
      </c>
      <c r="P37" s="338">
        <v>3705.4183770000004</v>
      </c>
      <c r="Q37" s="338">
        <v>3809.8728020000058</v>
      </c>
      <c r="R37" s="338">
        <v>3967.387713000001</v>
      </c>
      <c r="S37" s="338">
        <v>3405.014436999998</v>
      </c>
      <c r="T37" s="338">
        <v>3681.036788999998</v>
      </c>
      <c r="U37" s="338">
        <v>3926.7689489999993</v>
      </c>
      <c r="V37" s="338">
        <v>3825.9315960000017</v>
      </c>
      <c r="W37" s="338">
        <v>4199.8497979999975</v>
      </c>
      <c r="X37" s="338">
        <v>4299.1743820000011</v>
      </c>
      <c r="Y37" s="338">
        <v>4920.6745169999976</v>
      </c>
      <c r="Z37" s="338">
        <v>5003.8312669999996</v>
      </c>
      <c r="AA37" s="338">
        <v>5051</v>
      </c>
      <c r="AB37" s="338">
        <v>5248.5521540000027</v>
      </c>
      <c r="AC37" s="337">
        <v>5148.9488939999974</v>
      </c>
      <c r="AD37" s="337">
        <v>5038.3776430000034</v>
      </c>
      <c r="AE37" s="338">
        <v>5195.7332429999915</v>
      </c>
      <c r="AF37" s="337">
        <v>5829.4066970000058</v>
      </c>
      <c r="AG37" s="337">
        <v>5193.0830409999944</v>
      </c>
      <c r="AH37" s="337">
        <v>6356.5546499999991</v>
      </c>
      <c r="AI37" s="337">
        <v>6125</v>
      </c>
      <c r="AJ37" s="337">
        <v>5685.5101100000029</v>
      </c>
      <c r="AK37" s="337">
        <v>5556.669719999999</v>
      </c>
      <c r="AL37" s="337">
        <v>5506.5513489999994</v>
      </c>
      <c r="AM37" s="337">
        <v>6247.0219720000005</v>
      </c>
      <c r="AN37" s="395"/>
      <c r="AO37" s="395"/>
      <c r="AP37" s="395"/>
      <c r="AQ37" s="395"/>
      <c r="AR37" s="298"/>
      <c r="AS37" s="298"/>
      <c r="AT37" s="298"/>
      <c r="AU37" s="298"/>
      <c r="AV37" s="298"/>
      <c r="AW37" s="298"/>
      <c r="AX37" s="298"/>
      <c r="AY37" s="298"/>
      <c r="AZ37" s="298"/>
      <c r="BA37" s="298"/>
      <c r="BB37" s="298"/>
      <c r="BC37" s="298"/>
      <c r="BD37" s="15"/>
      <c r="BE37" s="2"/>
      <c r="BF37" s="2"/>
    </row>
    <row r="38" spans="1:58">
      <c r="A38" s="2" t="s">
        <v>347</v>
      </c>
      <c r="B38" s="329"/>
      <c r="C38" s="329"/>
      <c r="D38" s="329"/>
      <c r="E38" s="338"/>
      <c r="F38" s="338"/>
      <c r="G38" s="338"/>
      <c r="H38" s="338"/>
      <c r="I38" s="338"/>
      <c r="J38" s="338">
        <v>921.590417</v>
      </c>
      <c r="K38" s="338">
        <v>1322.0475550000001</v>
      </c>
      <c r="L38" s="338">
        <v>1178.6173520000002</v>
      </c>
      <c r="M38" s="338">
        <v>1691.0802010000002</v>
      </c>
      <c r="N38" s="338">
        <v>1595.9403850000001</v>
      </c>
      <c r="O38" s="338">
        <v>1728.3691689999998</v>
      </c>
      <c r="P38" s="338">
        <v>1804.8446190000002</v>
      </c>
      <c r="Q38" s="338">
        <v>2139.3721160000005</v>
      </c>
      <c r="R38" s="338">
        <v>2119.6803850000001</v>
      </c>
      <c r="S38" s="338">
        <v>2401.2966540000002</v>
      </c>
      <c r="T38" s="338">
        <v>2844.322912000001</v>
      </c>
      <c r="U38" s="338">
        <v>3059.2900839999979</v>
      </c>
      <c r="V38" s="338">
        <v>2771.4572309999999</v>
      </c>
      <c r="W38" s="338">
        <v>2865.6778410000002</v>
      </c>
      <c r="X38" s="338">
        <v>3041.0323919999996</v>
      </c>
      <c r="Y38" s="338">
        <v>3271.6089660000002</v>
      </c>
      <c r="Z38" s="338">
        <v>3208.4021910000001</v>
      </c>
      <c r="AA38" s="338">
        <v>3304</v>
      </c>
      <c r="AB38" s="338">
        <v>3225.7680000000009</v>
      </c>
      <c r="AC38" s="337">
        <v>3287.0459999999994</v>
      </c>
      <c r="AD38" s="337">
        <v>2966.04</v>
      </c>
      <c r="AE38" s="338">
        <v>2389.8000000000002</v>
      </c>
      <c r="AF38" s="337">
        <v>2177.2799999999997</v>
      </c>
      <c r="AG38" s="337">
        <v>2639.2799999999997</v>
      </c>
      <c r="AH38" s="337">
        <v>2642.22</v>
      </c>
      <c r="AI38" s="337">
        <v>4866</v>
      </c>
      <c r="AJ38" s="337">
        <v>3852.24</v>
      </c>
      <c r="AK38" s="337">
        <v>2444.8199999999993</v>
      </c>
      <c r="AL38" s="337">
        <v>3019.5598949999999</v>
      </c>
      <c r="AM38" s="337">
        <v>2882.0784619999999</v>
      </c>
      <c r="AN38" s="395"/>
      <c r="AO38" s="395"/>
      <c r="AP38" s="395"/>
      <c r="AQ38" s="395"/>
      <c r="AR38" s="298"/>
      <c r="AS38" s="298"/>
      <c r="AT38" s="298"/>
      <c r="AU38" s="298"/>
      <c r="AV38" s="298"/>
      <c r="AW38" s="298"/>
      <c r="AX38" s="298"/>
      <c r="AY38" s="298"/>
      <c r="AZ38" s="298"/>
      <c r="BA38" s="298"/>
      <c r="BB38" s="298"/>
      <c r="BC38" s="298"/>
      <c r="BD38" s="15"/>
      <c r="BE38" s="2"/>
      <c r="BF38" s="2"/>
    </row>
    <row r="39" spans="1:58">
      <c r="A39" s="2" t="s">
        <v>39</v>
      </c>
      <c r="B39" s="338">
        <v>4115</v>
      </c>
      <c r="C39" s="338">
        <v>3743</v>
      </c>
      <c r="D39" s="338">
        <v>2440</v>
      </c>
      <c r="E39" s="338">
        <v>1439.5188381000003</v>
      </c>
      <c r="F39" s="338">
        <v>1799.0636147399996</v>
      </c>
      <c r="G39" s="338">
        <v>2385.1969100400011</v>
      </c>
      <c r="H39" s="338">
        <v>1705.9639967999992</v>
      </c>
      <c r="I39" s="338">
        <v>2394.8797286400004</v>
      </c>
      <c r="J39" s="338">
        <v>1727.1480799999999</v>
      </c>
      <c r="K39" s="338">
        <v>1192.9531419999998</v>
      </c>
      <c r="L39" s="338">
        <v>1678.6682880000003</v>
      </c>
      <c r="M39" s="338">
        <v>2939.2472360000002</v>
      </c>
      <c r="N39" s="338">
        <v>2667.4224440000003</v>
      </c>
      <c r="O39" s="338">
        <v>2054.4786259999996</v>
      </c>
      <c r="P39" s="338">
        <v>2570.3509729999982</v>
      </c>
      <c r="Q39" s="338">
        <v>2719.5433450000014</v>
      </c>
      <c r="R39" s="338">
        <v>2902.4032580000003</v>
      </c>
      <c r="S39" s="338">
        <v>2478.0730490000005</v>
      </c>
      <c r="T39" s="338">
        <v>2388.7639639999998</v>
      </c>
      <c r="U39" s="338">
        <v>2093.0332560000006</v>
      </c>
      <c r="V39" s="338">
        <v>2053.5685314009897</v>
      </c>
      <c r="W39" s="338">
        <v>2127.7810761930109</v>
      </c>
      <c r="X39" s="338">
        <v>3404.9237509399991</v>
      </c>
      <c r="Y39" s="338">
        <v>2243.0968570799996</v>
      </c>
      <c r="Z39" s="338">
        <v>3460.6274992900003</v>
      </c>
      <c r="AA39" s="338">
        <v>2796</v>
      </c>
      <c r="AB39" s="338">
        <v>2379.9259791740005</v>
      </c>
      <c r="AC39" s="337">
        <v>2670.4563678099994</v>
      </c>
      <c r="AD39" s="337">
        <v>2933.59063732</v>
      </c>
      <c r="AE39" s="338">
        <v>2586.63793498</v>
      </c>
      <c r="AF39" s="337">
        <v>1876.4381062370014</v>
      </c>
      <c r="AG39" s="337">
        <v>1710.4532574669993</v>
      </c>
      <c r="AH39" s="337">
        <v>2036.1736693700002</v>
      </c>
      <c r="AI39" s="337">
        <v>2136</v>
      </c>
      <c r="AJ39" s="337">
        <v>1611.1999999999996</v>
      </c>
      <c r="AK39" s="337">
        <v>2937.0000000000009</v>
      </c>
      <c r="AL39" s="337">
        <v>1003.7284100000001</v>
      </c>
      <c r="AM39" s="337">
        <v>2073.2116249999999</v>
      </c>
      <c r="AN39" s="395"/>
      <c r="AO39" s="395"/>
      <c r="AP39" s="395"/>
      <c r="AQ39" s="395"/>
      <c r="AR39" s="298"/>
      <c r="AS39" s="298"/>
      <c r="AT39" s="298"/>
      <c r="AU39" s="298"/>
      <c r="AV39" s="298"/>
      <c r="AW39" s="298"/>
      <c r="AX39" s="298"/>
      <c r="AY39" s="298"/>
      <c r="AZ39" s="298"/>
      <c r="BA39" s="298"/>
      <c r="BB39" s="298"/>
      <c r="BC39" s="298"/>
      <c r="BD39" s="15"/>
      <c r="BE39" s="2"/>
      <c r="BF39" s="2"/>
    </row>
    <row r="40" spans="1:58">
      <c r="A40" s="2" t="s">
        <v>345</v>
      </c>
      <c r="B40" s="329"/>
      <c r="C40" s="329"/>
      <c r="D40" s="329"/>
      <c r="E40" s="338">
        <v>2485.9964488799997</v>
      </c>
      <c r="F40" s="338">
        <v>1891.7646493199993</v>
      </c>
      <c r="G40" s="338">
        <v>1637.0283820800007</v>
      </c>
      <c r="H40" s="338">
        <v>2393.6042747399943</v>
      </c>
      <c r="I40" s="338">
        <v>1987.8075949199983</v>
      </c>
      <c r="J40" s="338">
        <v>4018.1676120000002</v>
      </c>
      <c r="K40" s="338">
        <v>4227.6454180000019</v>
      </c>
      <c r="L40" s="338">
        <v>3665.348688999999</v>
      </c>
      <c r="M40" s="338">
        <v>3400.9184860000014</v>
      </c>
      <c r="N40" s="338">
        <v>3405.4217119999989</v>
      </c>
      <c r="O40" s="338">
        <v>4301.0067159999981</v>
      </c>
      <c r="P40" s="338">
        <v>3979.6407040000054</v>
      </c>
      <c r="Q40" s="338">
        <v>4045.9768570000001</v>
      </c>
      <c r="R40" s="338">
        <v>3888.5599929999998</v>
      </c>
      <c r="S40" s="338">
        <v>3804.0569160000005</v>
      </c>
      <c r="T40" s="338">
        <v>4201.5401539999984</v>
      </c>
      <c r="U40" s="338">
        <v>4995.3958010000006</v>
      </c>
      <c r="V40" s="338">
        <v>4784.3591965990117</v>
      </c>
      <c r="W40" s="338">
        <v>4977.7426608069873</v>
      </c>
      <c r="X40" s="338">
        <v>3885.998259060003</v>
      </c>
      <c r="Y40" s="338">
        <v>5699.8869999199969</v>
      </c>
      <c r="Z40" s="338">
        <v>4493.7423127099992</v>
      </c>
      <c r="AA40" s="338">
        <v>5334</v>
      </c>
      <c r="AB40" s="338">
        <v>5938.0543768260013</v>
      </c>
      <c r="AC40" s="337">
        <v>5473.6707821899972</v>
      </c>
      <c r="AD40" s="337">
        <v>4881.071890680003</v>
      </c>
      <c r="AE40" s="338">
        <v>5381.4929530199925</v>
      </c>
      <c r="AF40" s="337">
        <v>6633.1790957630037</v>
      </c>
      <c r="AG40" s="337">
        <v>6456.5606135329963</v>
      </c>
      <c r="AH40" s="337">
        <v>8018.8948026299986</v>
      </c>
      <c r="AI40" s="337">
        <v>7132</v>
      </c>
      <c r="AJ40" s="337">
        <v>7170.9744990000045</v>
      </c>
      <c r="AK40" s="337">
        <v>6094.6390199999978</v>
      </c>
      <c r="AL40" s="337">
        <v>7738.2936279999994</v>
      </c>
      <c r="AM40" s="337">
        <v>7219.8819910000002</v>
      </c>
      <c r="AN40" s="395"/>
      <c r="AO40" s="395"/>
      <c r="AP40" s="395"/>
      <c r="AQ40" s="395"/>
      <c r="AR40" s="298"/>
      <c r="AS40" s="298"/>
      <c r="AT40" s="298"/>
      <c r="AU40" s="298"/>
      <c r="AV40" s="298"/>
      <c r="AW40" s="298"/>
      <c r="AX40" s="298"/>
      <c r="AY40" s="298"/>
      <c r="AZ40" s="298"/>
      <c r="BA40" s="298"/>
      <c r="BB40" s="298"/>
      <c r="BC40" s="298"/>
      <c r="BD40" s="15"/>
      <c r="BE40" s="2"/>
      <c r="BF40" s="2"/>
    </row>
    <row r="41" spans="1:58">
      <c r="A41" s="2" t="s">
        <v>346</v>
      </c>
      <c r="B41" s="329"/>
      <c r="C41" s="329"/>
      <c r="D41" s="329"/>
      <c r="E41" s="338">
        <v>98586.622001280004</v>
      </c>
      <c r="F41" s="338">
        <v>100156.05756282</v>
      </c>
      <c r="G41" s="338">
        <v>102338.79453252</v>
      </c>
      <c r="H41" s="338">
        <v>103630.93746936</v>
      </c>
      <c r="I41" s="338">
        <v>105724.66996770001</v>
      </c>
      <c r="J41" s="338">
        <v>170017.04854300001</v>
      </c>
      <c r="K41" s="338">
        <v>171863.952655</v>
      </c>
      <c r="L41" s="338">
        <v>171719.940802</v>
      </c>
      <c r="M41" s="338">
        <v>174335.69790600002</v>
      </c>
      <c r="N41" s="338">
        <v>168453.69437500002</v>
      </c>
      <c r="O41" s="338">
        <v>167913.699238</v>
      </c>
      <c r="P41" s="338">
        <v>171202.25766200002</v>
      </c>
      <c r="Q41" s="338">
        <v>169968.18380000003</v>
      </c>
      <c r="R41" s="338">
        <v>173944.25245199999</v>
      </c>
      <c r="S41" s="338">
        <v>177918.57870899999</v>
      </c>
      <c r="T41" s="338">
        <v>190495.72550799997</v>
      </c>
      <c r="U41" s="338">
        <v>191109.60265500002</v>
      </c>
      <c r="V41" s="338">
        <v>183330.78936300002</v>
      </c>
      <c r="W41" s="338">
        <v>186877.23391099999</v>
      </c>
      <c r="X41" s="338">
        <v>192102.77444699997</v>
      </c>
      <c r="Y41" s="338">
        <v>196111.264463</v>
      </c>
      <c r="Z41" s="338">
        <v>189543.21240999998</v>
      </c>
      <c r="AA41" s="338">
        <v>193794</v>
      </c>
      <c r="AB41" s="338">
        <v>197746.813949</v>
      </c>
      <c r="AC41" s="337">
        <v>201997.643488</v>
      </c>
      <c r="AD41" s="337">
        <v>193101.20355599996</v>
      </c>
      <c r="AE41" s="338">
        <v>195887.89131300003</v>
      </c>
      <c r="AF41" s="337">
        <v>198871.62803999998</v>
      </c>
      <c r="AG41" s="337">
        <v>201759.99015200001</v>
      </c>
      <c r="AH41" s="337">
        <v>202120.08334800001</v>
      </c>
      <c r="AI41" s="337">
        <v>206935</v>
      </c>
      <c r="AJ41" s="337">
        <v>210237.48150499997</v>
      </c>
      <c r="AK41" s="337">
        <v>214277.370406</v>
      </c>
      <c r="AL41" s="337">
        <v>213574.686525</v>
      </c>
      <c r="AM41" s="337">
        <v>216913.79655</v>
      </c>
      <c r="AN41" s="395"/>
      <c r="AO41" s="395"/>
      <c r="AP41" s="395"/>
      <c r="AQ41" s="395"/>
      <c r="AR41" s="298"/>
      <c r="AS41" s="298"/>
      <c r="AT41" s="298"/>
      <c r="AU41" s="298"/>
      <c r="AV41" s="298"/>
      <c r="AW41" s="298"/>
      <c r="AX41" s="298"/>
      <c r="AY41" s="298"/>
      <c r="AZ41" s="298"/>
      <c r="BA41" s="298"/>
      <c r="BB41" s="298"/>
      <c r="BC41" s="298"/>
      <c r="BD41" s="15"/>
      <c r="BE41" s="2"/>
      <c r="BF41" s="2"/>
    </row>
    <row r="42" spans="1:58">
      <c r="A42" s="2"/>
      <c r="B42" s="329"/>
      <c r="C42" s="329"/>
      <c r="D42" s="329"/>
      <c r="E42" s="329"/>
      <c r="F42" s="329"/>
      <c r="G42" s="329"/>
      <c r="H42" s="329"/>
      <c r="I42" s="329"/>
      <c r="J42" s="329"/>
      <c r="K42" s="329"/>
      <c r="L42" s="329"/>
      <c r="M42" s="329"/>
      <c r="N42" s="329"/>
      <c r="O42" s="329"/>
      <c r="P42" s="329"/>
      <c r="Q42" s="329"/>
      <c r="R42" s="338"/>
      <c r="S42" s="338"/>
      <c r="T42" s="338"/>
      <c r="U42" s="338"/>
      <c r="V42" s="338"/>
      <c r="W42" s="338"/>
      <c r="X42" s="338"/>
      <c r="Y42" s="338"/>
      <c r="Z42" s="338"/>
      <c r="AA42" s="338"/>
      <c r="AB42" s="338"/>
      <c r="AC42" s="337"/>
      <c r="AD42" s="337"/>
      <c r="AE42" s="338"/>
      <c r="AF42" s="337"/>
      <c r="AG42" s="337"/>
      <c r="AH42" s="337"/>
      <c r="AI42" s="337"/>
      <c r="AJ42" s="337"/>
      <c r="AK42" s="337"/>
      <c r="AL42" s="337"/>
      <c r="AM42" s="337"/>
      <c r="AN42" s="337"/>
      <c r="AO42" s="330"/>
      <c r="AP42" s="330"/>
      <c r="AQ42" s="330"/>
      <c r="AR42" s="54"/>
      <c r="AS42" s="54"/>
      <c r="AT42" s="54"/>
      <c r="AU42" s="54"/>
      <c r="AV42" s="54"/>
      <c r="AW42" s="54"/>
      <c r="AX42" s="54"/>
      <c r="AY42" s="54"/>
      <c r="AZ42" s="54"/>
      <c r="BA42" s="54"/>
      <c r="BB42" s="54"/>
      <c r="BC42" s="54"/>
      <c r="BD42" s="15"/>
      <c r="BE42" s="2"/>
      <c r="BF42" s="2"/>
    </row>
    <row r="43" spans="1:58" s="30" customFormat="1">
      <c r="A43" s="508" t="s">
        <v>572</v>
      </c>
      <c r="B43" s="518"/>
      <c r="C43" s="518"/>
      <c r="D43" s="518"/>
      <c r="E43" s="518"/>
      <c r="F43" s="518"/>
      <c r="G43" s="518"/>
      <c r="H43" s="518"/>
      <c r="I43" s="518"/>
      <c r="J43" s="518"/>
      <c r="K43" s="518"/>
      <c r="L43" s="518"/>
      <c r="M43" s="518"/>
      <c r="N43" s="518"/>
      <c r="O43" s="518"/>
      <c r="P43" s="518"/>
      <c r="Q43" s="518"/>
      <c r="R43" s="518"/>
      <c r="S43" s="518"/>
      <c r="T43" s="518"/>
      <c r="U43" s="518"/>
      <c r="V43" s="518"/>
      <c r="W43" s="518"/>
      <c r="X43" s="518"/>
      <c r="Y43" s="518"/>
      <c r="Z43" s="518"/>
      <c r="AA43" s="518"/>
      <c r="AB43" s="518"/>
      <c r="AC43" s="518"/>
      <c r="AD43" s="518"/>
      <c r="AE43" s="516"/>
      <c r="AF43" s="516"/>
      <c r="AG43" s="516"/>
      <c r="AH43" s="516"/>
      <c r="AI43" s="516"/>
      <c r="AJ43" s="516"/>
      <c r="AK43" s="516"/>
      <c r="AL43" s="516"/>
      <c r="AM43" s="516"/>
      <c r="AN43" s="516"/>
      <c r="AO43" s="516"/>
      <c r="AP43" s="516"/>
      <c r="AQ43" s="516"/>
      <c r="AR43" s="520"/>
      <c r="AS43" s="520"/>
      <c r="AT43" s="520"/>
      <c r="AU43" s="520"/>
      <c r="AV43" s="520"/>
      <c r="AW43" s="520"/>
      <c r="AX43" s="520"/>
      <c r="AY43" s="520"/>
      <c r="AZ43" s="520"/>
      <c r="BA43" s="520"/>
      <c r="BB43" s="520"/>
      <c r="BC43" s="520"/>
      <c r="BD43" s="508"/>
      <c r="BE43" s="508"/>
      <c r="BF43" s="13"/>
    </row>
    <row r="44" spans="1:58">
      <c r="A44" s="2" t="s">
        <v>340</v>
      </c>
      <c r="B44" s="329"/>
      <c r="C44" s="329"/>
      <c r="D44" s="329"/>
      <c r="E44" s="329"/>
      <c r="F44" s="329"/>
      <c r="G44" s="329"/>
      <c r="H44" s="329"/>
      <c r="I44" s="329"/>
      <c r="J44" s="329"/>
      <c r="K44" s="329"/>
      <c r="L44" s="329"/>
      <c r="M44" s="329"/>
      <c r="N44" s="329"/>
      <c r="O44" s="329"/>
      <c r="P44" s="329"/>
      <c r="Q44" s="329"/>
      <c r="R44" s="329"/>
      <c r="S44" s="329"/>
      <c r="T44" s="329"/>
      <c r="U44" s="329"/>
      <c r="V44" s="329"/>
      <c r="W44" s="338">
        <v>899.13684799999987</v>
      </c>
      <c r="X44" s="338">
        <v>960.56929500000024</v>
      </c>
      <c r="Y44" s="338">
        <v>939.1687750000001</v>
      </c>
      <c r="Z44" s="338">
        <v>1018.901775</v>
      </c>
      <c r="AA44" s="338">
        <v>972.48475199999984</v>
      </c>
      <c r="AB44" s="338">
        <v>1013.8300120000001</v>
      </c>
      <c r="AC44" s="337">
        <v>1003.8150240000002</v>
      </c>
      <c r="AD44" s="337">
        <v>372.64370600000001</v>
      </c>
      <c r="AE44" s="338">
        <v>529.54062700000009</v>
      </c>
      <c r="AF44" s="397"/>
      <c r="AG44" s="397"/>
      <c r="AH44" s="397"/>
      <c r="AI44" s="397"/>
      <c r="AJ44" s="397"/>
      <c r="AK44" s="397"/>
      <c r="AL44" s="397"/>
      <c r="AM44" s="397"/>
      <c r="AN44" s="397"/>
      <c r="AO44" s="397"/>
      <c r="AP44" s="397"/>
      <c r="AQ44" s="397"/>
      <c r="AR44" s="174"/>
      <c r="AS44" s="174"/>
      <c r="AT44" s="174"/>
      <c r="AU44" s="174"/>
      <c r="AV44" s="174"/>
      <c r="AW44" s="174"/>
      <c r="AX44" s="174"/>
      <c r="AY44" s="174"/>
      <c r="AZ44" s="174"/>
      <c r="BA44" s="174"/>
      <c r="BB44" s="174"/>
      <c r="BC44" s="174"/>
      <c r="BD44" s="15"/>
      <c r="BE44" s="2"/>
      <c r="BF44" s="2"/>
    </row>
    <row r="45" spans="1:58">
      <c r="A45" s="2" t="s">
        <v>37</v>
      </c>
      <c r="B45" s="329"/>
      <c r="C45" s="329"/>
      <c r="D45" s="329"/>
      <c r="E45" s="329"/>
      <c r="F45" s="329"/>
      <c r="G45" s="329"/>
      <c r="H45" s="329"/>
      <c r="I45" s="329"/>
      <c r="J45" s="329"/>
      <c r="K45" s="329"/>
      <c r="L45" s="329"/>
      <c r="M45" s="329"/>
      <c r="N45" s="329"/>
      <c r="O45" s="329"/>
      <c r="P45" s="329"/>
      <c r="Q45" s="329"/>
      <c r="R45" s="329"/>
      <c r="S45" s="329"/>
      <c r="T45" s="329"/>
      <c r="U45" s="329"/>
      <c r="V45" s="329"/>
      <c r="W45" s="338">
        <v>-356.32197148499949</v>
      </c>
      <c r="X45" s="338">
        <v>-420.63756682900066</v>
      </c>
      <c r="Y45" s="338">
        <v>-2371.2131704249996</v>
      </c>
      <c r="Z45" s="338">
        <v>-940.84533922999981</v>
      </c>
      <c r="AA45" s="338">
        <v>-894.07389854400071</v>
      </c>
      <c r="AB45" s="338">
        <v>-1776.7027863159992</v>
      </c>
      <c r="AC45" s="337">
        <v>-667.58190936000074</v>
      </c>
      <c r="AD45" s="337">
        <v>-1231.5674388940001</v>
      </c>
      <c r="AE45" s="338">
        <v>-1454.3122564689997</v>
      </c>
      <c r="AF45" s="397"/>
      <c r="AG45" s="397"/>
      <c r="AH45" s="397"/>
      <c r="AI45" s="397"/>
      <c r="AJ45" s="397"/>
      <c r="AK45" s="397"/>
      <c r="AL45" s="397"/>
      <c r="AM45" s="397"/>
      <c r="AN45" s="397"/>
      <c r="AO45" s="397"/>
      <c r="AP45" s="397"/>
      <c r="AQ45" s="397"/>
      <c r="AR45" s="174"/>
      <c r="AS45" s="174"/>
      <c r="AT45" s="174"/>
      <c r="AU45" s="174"/>
      <c r="AV45" s="174"/>
      <c r="AW45" s="174"/>
      <c r="AX45" s="174"/>
      <c r="AY45" s="174"/>
      <c r="AZ45" s="174"/>
      <c r="BA45" s="174"/>
      <c r="BB45" s="174"/>
      <c r="BC45" s="174"/>
      <c r="BD45" s="15"/>
      <c r="BE45" s="2"/>
      <c r="BF45" s="2"/>
    </row>
    <row r="46" spans="1:58">
      <c r="A46" s="2" t="s">
        <v>38</v>
      </c>
      <c r="B46" s="329"/>
      <c r="C46" s="329"/>
      <c r="D46" s="329"/>
      <c r="E46" s="329"/>
      <c r="F46" s="329"/>
      <c r="G46" s="329"/>
      <c r="H46" s="329"/>
      <c r="I46" s="329"/>
      <c r="J46" s="329"/>
      <c r="K46" s="329"/>
      <c r="L46" s="329"/>
      <c r="M46" s="329"/>
      <c r="N46" s="329"/>
      <c r="O46" s="329"/>
      <c r="P46" s="329"/>
      <c r="Q46" s="329"/>
      <c r="R46" s="329"/>
      <c r="S46" s="329"/>
      <c r="T46" s="329"/>
      <c r="U46" s="329"/>
      <c r="V46" s="329"/>
      <c r="W46" s="338">
        <v>-370.84697448499958</v>
      </c>
      <c r="X46" s="338">
        <v>-839.86878282900045</v>
      </c>
      <c r="Y46" s="338">
        <v>-1991.718183425</v>
      </c>
      <c r="Z46" s="338">
        <v>-951.07587822999983</v>
      </c>
      <c r="AA46" s="338">
        <v>-938.22171354400064</v>
      </c>
      <c r="AB46" s="338">
        <v>-1778.5053083159992</v>
      </c>
      <c r="AC46" s="337">
        <v>-686.15631236000092</v>
      </c>
      <c r="AD46" s="337">
        <v>-1254.7941908940002</v>
      </c>
      <c r="AE46" s="338">
        <v>-1480.2771424689995</v>
      </c>
      <c r="AF46" s="397"/>
      <c r="AG46" s="397"/>
      <c r="AH46" s="397"/>
      <c r="AI46" s="397"/>
      <c r="AJ46" s="397"/>
      <c r="AK46" s="397"/>
      <c r="AL46" s="397"/>
      <c r="AM46" s="397"/>
      <c r="AN46" s="397"/>
      <c r="AO46" s="397"/>
      <c r="AP46" s="397"/>
      <c r="AQ46" s="397"/>
      <c r="AR46" s="174"/>
      <c r="AS46" s="174"/>
      <c r="AT46" s="174"/>
      <c r="AU46" s="174"/>
      <c r="AV46" s="174"/>
      <c r="AW46" s="174"/>
      <c r="AX46" s="174"/>
      <c r="AY46" s="174"/>
      <c r="AZ46" s="174"/>
      <c r="BA46" s="174"/>
      <c r="BB46" s="174"/>
      <c r="BC46" s="174"/>
      <c r="BD46" s="15"/>
      <c r="BE46" s="2"/>
      <c r="BF46" s="2"/>
    </row>
    <row r="47" spans="1:58">
      <c r="A47" s="2" t="s">
        <v>39</v>
      </c>
      <c r="B47" s="329"/>
      <c r="C47" s="329"/>
      <c r="D47" s="329"/>
      <c r="E47" s="329"/>
      <c r="F47" s="329"/>
      <c r="G47" s="329"/>
      <c r="H47" s="329"/>
      <c r="I47" s="329"/>
      <c r="J47" s="329"/>
      <c r="K47" s="329"/>
      <c r="L47" s="329"/>
      <c r="M47" s="329"/>
      <c r="N47" s="329"/>
      <c r="O47" s="329"/>
      <c r="P47" s="329"/>
      <c r="Q47" s="329"/>
      <c r="R47" s="329"/>
      <c r="S47" s="329"/>
      <c r="T47" s="329"/>
      <c r="U47" s="329"/>
      <c r="V47" s="329"/>
      <c r="W47" s="338">
        <v>409.5903048399997</v>
      </c>
      <c r="X47" s="338">
        <v>469.02802200000008</v>
      </c>
      <c r="Y47" s="338">
        <v>85.149691619999885</v>
      </c>
      <c r="Z47" s="338">
        <v>1348.0230915700001</v>
      </c>
      <c r="AA47" s="338">
        <v>1269.2138613099999</v>
      </c>
      <c r="AB47" s="338">
        <v>1472.14143872</v>
      </c>
      <c r="AC47" s="337">
        <v>2432.97668759</v>
      </c>
      <c r="AD47" s="337">
        <v>1252.9503312530001</v>
      </c>
      <c r="AE47" s="338">
        <v>1033.6422132769999</v>
      </c>
      <c r="AF47" s="397"/>
      <c r="AG47" s="397"/>
      <c r="AH47" s="397"/>
      <c r="AI47" s="397"/>
      <c r="AJ47" s="397"/>
      <c r="AK47" s="397"/>
      <c r="AL47" s="397"/>
      <c r="AM47" s="397"/>
      <c r="AN47" s="397"/>
      <c r="AO47" s="397"/>
      <c r="AP47" s="397"/>
      <c r="AQ47" s="397"/>
      <c r="AR47" s="174"/>
      <c r="AS47" s="174"/>
      <c r="AT47" s="174"/>
      <c r="AU47" s="174"/>
      <c r="AV47" s="174"/>
      <c r="AW47" s="174"/>
      <c r="AX47" s="174"/>
      <c r="AY47" s="174"/>
      <c r="AZ47" s="174"/>
      <c r="BA47" s="174"/>
      <c r="BB47" s="174"/>
      <c r="BC47" s="174"/>
      <c r="BD47" s="15"/>
      <c r="BE47" s="2"/>
      <c r="BF47" s="2"/>
    </row>
    <row r="48" spans="1:58">
      <c r="A48" s="2" t="s">
        <v>345</v>
      </c>
      <c r="B48" s="329"/>
      <c r="C48" s="329"/>
      <c r="D48" s="329"/>
      <c r="E48" s="329"/>
      <c r="F48" s="329"/>
      <c r="G48" s="329"/>
      <c r="H48" s="329"/>
      <c r="I48" s="329"/>
      <c r="J48" s="329"/>
      <c r="K48" s="329"/>
      <c r="L48" s="329"/>
      <c r="M48" s="329"/>
      <c r="N48" s="329"/>
      <c r="O48" s="329"/>
      <c r="P48" s="329"/>
      <c r="Q48" s="329"/>
      <c r="R48" s="329"/>
      <c r="S48" s="329"/>
      <c r="T48" s="329"/>
      <c r="U48" s="329"/>
      <c r="V48" s="329"/>
      <c r="W48" s="338">
        <v>-765.9122763249992</v>
      </c>
      <c r="X48" s="338">
        <v>-889.66558882900074</v>
      </c>
      <c r="Y48" s="338">
        <v>-2456.3628620449995</v>
      </c>
      <c r="Z48" s="338">
        <v>-2288.8684308000002</v>
      </c>
      <c r="AA48" s="338">
        <v>-2163.2877598540008</v>
      </c>
      <c r="AB48" s="338">
        <v>-3248.8442250359994</v>
      </c>
      <c r="AC48" s="337">
        <v>-3100.5585969500007</v>
      </c>
      <c r="AD48" s="337">
        <v>-2484.5177701470002</v>
      </c>
      <c r="AE48" s="338">
        <v>-2487.9544697459996</v>
      </c>
      <c r="AF48" s="397"/>
      <c r="AG48" s="397"/>
      <c r="AH48" s="397"/>
      <c r="AI48" s="397"/>
      <c r="AJ48" s="397"/>
      <c r="AK48" s="397"/>
      <c r="AL48" s="397"/>
      <c r="AM48" s="397"/>
      <c r="AN48" s="397"/>
      <c r="AO48" s="397"/>
      <c r="AP48" s="397"/>
      <c r="AQ48" s="397"/>
      <c r="AR48" s="174"/>
      <c r="AS48" s="174"/>
      <c r="AT48" s="174"/>
      <c r="AU48" s="174"/>
      <c r="AV48" s="174"/>
      <c r="AW48" s="174"/>
      <c r="AX48" s="174"/>
      <c r="AY48" s="174"/>
      <c r="AZ48" s="174"/>
      <c r="BA48" s="174"/>
      <c r="BB48" s="174"/>
      <c r="BC48" s="174"/>
      <c r="BD48" s="15"/>
      <c r="BE48" s="2"/>
      <c r="BF48" s="2"/>
    </row>
    <row r="49" spans="1:66">
      <c r="A49" s="2" t="s">
        <v>346</v>
      </c>
      <c r="B49" s="329"/>
      <c r="C49" s="329"/>
      <c r="D49" s="329"/>
      <c r="E49" s="329"/>
      <c r="F49" s="329"/>
      <c r="G49" s="329"/>
      <c r="H49" s="329"/>
      <c r="I49" s="329"/>
      <c r="J49" s="329"/>
      <c r="K49" s="329"/>
      <c r="L49" s="329"/>
      <c r="M49" s="329"/>
      <c r="N49" s="329"/>
      <c r="O49" s="329"/>
      <c r="P49" s="329"/>
      <c r="Q49" s="329"/>
      <c r="R49" s="329"/>
      <c r="S49" s="329"/>
      <c r="T49" s="329"/>
      <c r="U49" s="329"/>
      <c r="V49" s="329"/>
      <c r="W49" s="338">
        <v>6649.6806249999981</v>
      </c>
      <c r="X49" s="338">
        <v>7084.4807249999994</v>
      </c>
      <c r="Y49" s="338">
        <v>7135.0361979999998</v>
      </c>
      <c r="Z49" s="338">
        <v>8955.926196224802</v>
      </c>
      <c r="AA49" s="338">
        <v>9850.3561184669506</v>
      </c>
      <c r="AB49" s="338">
        <v>10617.537491794221</v>
      </c>
      <c r="AC49" s="337">
        <v>12943.93010679399</v>
      </c>
      <c r="AD49" s="337">
        <v>83.781357729101728</v>
      </c>
      <c r="AE49" s="338">
        <v>394.72690099999994</v>
      </c>
      <c r="AF49" s="397"/>
      <c r="AG49" s="397"/>
      <c r="AH49" s="397"/>
      <c r="AI49" s="397"/>
      <c r="AJ49" s="397"/>
      <c r="AK49" s="397"/>
      <c r="AL49" s="397"/>
      <c r="AM49" s="397"/>
      <c r="AN49" s="397"/>
      <c r="AO49" s="397"/>
      <c r="AP49" s="397"/>
      <c r="AQ49" s="397"/>
      <c r="AR49" s="174"/>
      <c r="AS49" s="174"/>
      <c r="AT49" s="174"/>
      <c r="AU49" s="174"/>
      <c r="AV49" s="174"/>
      <c r="AW49" s="174"/>
      <c r="AX49" s="174"/>
      <c r="AY49" s="174"/>
      <c r="AZ49" s="174"/>
      <c r="BA49" s="174"/>
      <c r="BB49" s="174"/>
      <c r="BC49" s="174"/>
      <c r="BD49" s="15"/>
      <c r="BE49" s="2"/>
      <c r="BF49" s="2"/>
    </row>
    <row r="50" spans="1:66">
      <c r="A50" s="2"/>
      <c r="B50" s="329"/>
      <c r="C50" s="329"/>
      <c r="D50" s="329"/>
      <c r="E50" s="329"/>
      <c r="F50" s="329"/>
      <c r="G50" s="329"/>
      <c r="H50" s="329"/>
      <c r="I50" s="329"/>
      <c r="J50" s="329"/>
      <c r="K50" s="329"/>
      <c r="L50" s="329"/>
      <c r="M50" s="329"/>
      <c r="N50" s="329"/>
      <c r="O50" s="329"/>
      <c r="P50" s="329"/>
      <c r="Q50" s="329"/>
      <c r="R50" s="329"/>
      <c r="S50" s="329"/>
      <c r="T50" s="329"/>
      <c r="U50" s="329"/>
      <c r="V50" s="329"/>
      <c r="W50" s="329"/>
      <c r="X50" s="329"/>
      <c r="Y50" s="329"/>
      <c r="Z50" s="329"/>
      <c r="AA50" s="329"/>
      <c r="AB50" s="329"/>
      <c r="AC50" s="330"/>
      <c r="AD50" s="330"/>
      <c r="AE50" s="329"/>
      <c r="AF50" s="330"/>
      <c r="AG50" s="330"/>
      <c r="AH50" s="330"/>
      <c r="AI50" s="330"/>
      <c r="AJ50" s="330"/>
      <c r="AK50" s="330"/>
      <c r="AL50" s="330"/>
      <c r="AM50" s="330"/>
      <c r="AN50" s="330"/>
      <c r="AO50" s="330"/>
      <c r="AP50" s="330"/>
      <c r="AQ50" s="330"/>
      <c r="AR50" s="54"/>
      <c r="AS50" s="54"/>
      <c r="AT50" s="54"/>
      <c r="AU50" s="54"/>
      <c r="AV50" s="54"/>
      <c r="AW50" s="54"/>
      <c r="AX50" s="54"/>
      <c r="AY50" s="54"/>
      <c r="AZ50" s="54"/>
      <c r="BA50" s="54"/>
      <c r="BB50" s="54"/>
      <c r="BC50" s="54"/>
      <c r="BD50" s="15"/>
      <c r="BE50" s="2"/>
      <c r="BF50" s="2"/>
    </row>
    <row r="51" spans="1:66" s="459" customFormat="1">
      <c r="A51" s="454" t="s">
        <v>792</v>
      </c>
      <c r="B51" s="455" t="str">
        <f>B$1</f>
        <v>Q1 12</v>
      </c>
      <c r="C51" s="455" t="str">
        <f t="shared" ref="C51:BC51" si="1">C$1</f>
        <v>Q2 12</v>
      </c>
      <c r="D51" s="455" t="str">
        <f t="shared" si="1"/>
        <v>Q3 12</v>
      </c>
      <c r="E51" s="455" t="str">
        <f t="shared" si="1"/>
        <v>4Q12</v>
      </c>
      <c r="F51" s="455" t="str">
        <f t="shared" si="1"/>
        <v>1Q13</v>
      </c>
      <c r="G51" s="455" t="str">
        <f t="shared" si="1"/>
        <v>2Q13</v>
      </c>
      <c r="H51" s="455" t="str">
        <f t="shared" si="1"/>
        <v>3Q13</v>
      </c>
      <c r="I51" s="455" t="str">
        <f t="shared" si="1"/>
        <v>4Q13</v>
      </c>
      <c r="J51" s="455" t="str">
        <f t="shared" si="1"/>
        <v>1Q14</v>
      </c>
      <c r="K51" s="455" t="str">
        <f t="shared" si="1"/>
        <v>2Q14</v>
      </c>
      <c r="L51" s="455" t="str">
        <f t="shared" si="1"/>
        <v>3Q14</v>
      </c>
      <c r="M51" s="455" t="str">
        <f t="shared" si="1"/>
        <v>4Q14</v>
      </c>
      <c r="N51" s="455" t="str">
        <f t="shared" si="1"/>
        <v>1Q15</v>
      </c>
      <c r="O51" s="455" t="str">
        <f t="shared" si="1"/>
        <v>2Q15</v>
      </c>
      <c r="P51" s="455" t="str">
        <f t="shared" si="1"/>
        <v>3Q15</v>
      </c>
      <c r="Q51" s="455" t="str">
        <f t="shared" si="1"/>
        <v>4Q15</v>
      </c>
      <c r="R51" s="455" t="str">
        <f t="shared" si="1"/>
        <v>1Q16</v>
      </c>
      <c r="S51" s="455" t="str">
        <f t="shared" si="1"/>
        <v>2Q16</v>
      </c>
      <c r="T51" s="455" t="str">
        <f t="shared" si="1"/>
        <v>3Q16</v>
      </c>
      <c r="U51" s="455" t="str">
        <f t="shared" si="1"/>
        <v>4Q16</v>
      </c>
      <c r="V51" s="455" t="str">
        <f t="shared" si="1"/>
        <v>1Q17</v>
      </c>
      <c r="W51" s="455" t="str">
        <f t="shared" si="1"/>
        <v>2Q17</v>
      </c>
      <c r="X51" s="455" t="str">
        <f t="shared" si="1"/>
        <v>3Q17</v>
      </c>
      <c r="Y51" s="455" t="str">
        <f t="shared" si="1"/>
        <v>4Q17</v>
      </c>
      <c r="Z51" s="455" t="str">
        <f t="shared" si="1"/>
        <v>1Q18</v>
      </c>
      <c r="AA51" s="455" t="str">
        <f t="shared" si="1"/>
        <v>2Q18</v>
      </c>
      <c r="AB51" s="455" t="str">
        <f t="shared" si="1"/>
        <v>3Q18</v>
      </c>
      <c r="AC51" s="455" t="str">
        <f t="shared" si="1"/>
        <v>4Q18</v>
      </c>
      <c r="AD51" s="455" t="str">
        <f t="shared" si="1"/>
        <v>1Q19</v>
      </c>
      <c r="AE51" s="455" t="str">
        <f t="shared" si="1"/>
        <v>2Q19</v>
      </c>
      <c r="AF51" s="455" t="str">
        <f t="shared" si="1"/>
        <v>3Q19</v>
      </c>
      <c r="AG51" s="455" t="str">
        <f t="shared" si="1"/>
        <v>4Q19</v>
      </c>
      <c r="AH51" s="455" t="str">
        <f t="shared" si="1"/>
        <v>1Q20</v>
      </c>
      <c r="AI51" s="455" t="str">
        <f t="shared" si="1"/>
        <v>2Q20</v>
      </c>
      <c r="AJ51" s="455" t="str">
        <f t="shared" si="1"/>
        <v>3Q20</v>
      </c>
      <c r="AK51" s="455" t="str">
        <f t="shared" si="1"/>
        <v>4Q20</v>
      </c>
      <c r="AL51" s="455" t="str">
        <f t="shared" si="1"/>
        <v>1Q21</v>
      </c>
      <c r="AM51" s="455" t="str">
        <f t="shared" si="1"/>
        <v>2Q21</v>
      </c>
      <c r="AN51" s="455" t="str">
        <f t="shared" si="1"/>
        <v>3Q21</v>
      </c>
      <c r="AO51" s="455" t="str">
        <f t="shared" si="1"/>
        <v>4Q21</v>
      </c>
      <c r="AP51" s="455" t="str">
        <f t="shared" si="1"/>
        <v>1Q22</v>
      </c>
      <c r="AQ51" s="455" t="str">
        <f t="shared" si="1"/>
        <v>2Q22</v>
      </c>
      <c r="AR51" s="455" t="str">
        <f t="shared" si="1"/>
        <v>3Q22</v>
      </c>
      <c r="AS51" s="455" t="str">
        <f t="shared" si="1"/>
        <v>4Q22</v>
      </c>
      <c r="AT51" s="455" t="str">
        <f t="shared" si="1"/>
        <v>1Q23</v>
      </c>
      <c r="AU51" s="455" t="str">
        <f t="shared" si="1"/>
        <v>2Q23</v>
      </c>
      <c r="AV51" s="455" t="str">
        <f t="shared" si="1"/>
        <v>3Q23</v>
      </c>
      <c r="AW51" s="455" t="str">
        <f t="shared" si="1"/>
        <v>4Q23</v>
      </c>
      <c r="AX51" s="455" t="str">
        <f t="shared" si="1"/>
        <v>1Q24</v>
      </c>
      <c r="AY51" s="455" t="str">
        <f t="shared" si="1"/>
        <v>2Q24</v>
      </c>
      <c r="AZ51" s="455" t="str">
        <f t="shared" si="1"/>
        <v>3Q24</v>
      </c>
      <c r="BA51" s="455" t="str">
        <f t="shared" si="1"/>
        <v>4Q24</v>
      </c>
      <c r="BB51" s="455" t="str">
        <f t="shared" si="1"/>
        <v>1Q25</v>
      </c>
      <c r="BC51" s="455" t="str">
        <f t="shared" si="1"/>
        <v>2Q25</v>
      </c>
      <c r="BD51" s="456"/>
      <c r="BE51" s="456"/>
      <c r="BF51" s="456"/>
      <c r="BG51" s="457"/>
      <c r="BH51" s="457"/>
      <c r="BI51" s="458"/>
      <c r="BJ51" s="458"/>
      <c r="BK51" s="457"/>
      <c r="BL51" s="457"/>
      <c r="BM51" s="454"/>
      <c r="BN51" s="454"/>
    </row>
    <row r="52" spans="1:66">
      <c r="A52" s="2" t="s">
        <v>340</v>
      </c>
      <c r="B52" s="329"/>
      <c r="C52" s="329"/>
      <c r="D52" s="329"/>
      <c r="E52" s="329"/>
      <c r="F52" s="329"/>
      <c r="G52" s="329"/>
      <c r="H52" s="329"/>
      <c r="I52" s="329"/>
      <c r="J52" s="329"/>
      <c r="K52" s="329"/>
      <c r="L52" s="329"/>
      <c r="M52" s="329"/>
      <c r="N52" s="329"/>
      <c r="O52" s="329"/>
      <c r="P52" s="329"/>
      <c r="Q52" s="329"/>
      <c r="R52" s="329"/>
      <c r="S52" s="329"/>
      <c r="T52" s="329"/>
      <c r="U52" s="329"/>
      <c r="V52" s="329"/>
      <c r="W52" s="329"/>
      <c r="X52" s="329"/>
      <c r="Y52" s="329"/>
      <c r="Z52" s="329"/>
      <c r="AA52" s="329"/>
      <c r="AB52" s="329"/>
      <c r="AC52" s="330"/>
      <c r="AD52" s="330"/>
      <c r="AE52" s="329"/>
      <c r="AF52" s="330"/>
      <c r="AG52" s="330"/>
      <c r="AH52" s="330"/>
      <c r="AI52" s="330"/>
      <c r="AJ52" s="330"/>
      <c r="AK52" s="330"/>
      <c r="AL52" s="330"/>
      <c r="AM52" s="330"/>
      <c r="AN52" s="330"/>
      <c r="AO52" s="330"/>
      <c r="AP52" s="330"/>
      <c r="AQ52" s="330"/>
      <c r="AR52" s="54"/>
      <c r="AS52" s="54">
        <v>41797.719524299981</v>
      </c>
      <c r="AT52" s="54">
        <v>43656.237966409011</v>
      </c>
      <c r="AU52" s="54">
        <v>46645.534046103014</v>
      </c>
      <c r="AV52" s="54">
        <v>47779.058184985988</v>
      </c>
      <c r="AW52" s="54">
        <v>47849.530726049976</v>
      </c>
      <c r="AX52" s="54">
        <v>50545.195438034993</v>
      </c>
      <c r="AY52" s="54"/>
      <c r="AZ52" s="54"/>
      <c r="BA52" s="54"/>
      <c r="BB52" s="54"/>
      <c r="BC52" s="54"/>
      <c r="BD52" s="15"/>
      <c r="BE52" s="2"/>
      <c r="BF52" s="2"/>
    </row>
    <row r="53" spans="1:66">
      <c r="A53" s="2" t="s">
        <v>37</v>
      </c>
      <c r="B53" s="329"/>
      <c r="C53" s="329"/>
      <c r="D53" s="329"/>
      <c r="E53" s="329"/>
      <c r="F53" s="329"/>
      <c r="G53" s="329"/>
      <c r="H53" s="329"/>
      <c r="I53" s="329"/>
      <c r="J53" s="329"/>
      <c r="K53" s="329"/>
      <c r="L53" s="329"/>
      <c r="M53" s="329"/>
      <c r="N53" s="329"/>
      <c r="O53" s="329"/>
      <c r="P53" s="329"/>
      <c r="Q53" s="329"/>
      <c r="R53" s="329"/>
      <c r="S53" s="329"/>
      <c r="T53" s="329"/>
      <c r="U53" s="329"/>
      <c r="V53" s="329"/>
      <c r="W53" s="329"/>
      <c r="X53" s="329"/>
      <c r="Y53" s="329"/>
      <c r="Z53" s="329"/>
      <c r="AA53" s="329"/>
      <c r="AB53" s="329"/>
      <c r="AC53" s="330"/>
      <c r="AD53" s="330"/>
      <c r="AE53" s="329"/>
      <c r="AF53" s="330"/>
      <c r="AG53" s="330"/>
      <c r="AH53" s="330"/>
      <c r="AI53" s="330"/>
      <c r="AJ53" s="330"/>
      <c r="AK53" s="330"/>
      <c r="AL53" s="330"/>
      <c r="AM53" s="330"/>
      <c r="AN53" s="330"/>
      <c r="AO53" s="330"/>
      <c r="AP53" s="330"/>
      <c r="AQ53" s="330"/>
      <c r="AR53" s="54"/>
      <c r="AS53" s="54">
        <v>16390.499681445726</v>
      </c>
      <c r="AT53" s="54">
        <v>16945.094402510666</v>
      </c>
      <c r="AU53" s="54">
        <v>18146.372375092167</v>
      </c>
      <c r="AV53" s="54">
        <v>19049.598001704137</v>
      </c>
      <c r="AW53" s="54">
        <v>19680.07435161803</v>
      </c>
      <c r="AX53" s="54">
        <v>19979.335158333994</v>
      </c>
      <c r="AY53" s="54"/>
      <c r="AZ53" s="54"/>
      <c r="BA53" s="54"/>
      <c r="BB53" s="54"/>
      <c r="BC53" s="54"/>
      <c r="BD53" s="15"/>
      <c r="BE53" s="2"/>
      <c r="BF53" s="2"/>
    </row>
    <row r="54" spans="1:66">
      <c r="A54" s="2" t="s">
        <v>342</v>
      </c>
      <c r="B54" s="329"/>
      <c r="C54" s="329"/>
      <c r="D54" s="329"/>
      <c r="E54" s="329"/>
      <c r="F54" s="329"/>
      <c r="G54" s="329"/>
      <c r="H54" s="329"/>
      <c r="I54" s="329"/>
      <c r="J54" s="329"/>
      <c r="K54" s="329"/>
      <c r="L54" s="329"/>
      <c r="M54" s="329"/>
      <c r="N54" s="329"/>
      <c r="O54" s="329"/>
      <c r="P54" s="329"/>
      <c r="Q54" s="329"/>
      <c r="R54" s="329"/>
      <c r="S54" s="329"/>
      <c r="T54" s="329"/>
      <c r="U54" s="329"/>
      <c r="V54" s="329"/>
      <c r="W54" s="329"/>
      <c r="X54" s="329"/>
      <c r="Y54" s="329"/>
      <c r="Z54" s="329"/>
      <c r="AA54" s="329"/>
      <c r="AB54" s="329"/>
      <c r="AC54" s="330"/>
      <c r="AD54" s="330"/>
      <c r="AE54" s="329"/>
      <c r="AF54" s="330"/>
      <c r="AG54" s="330"/>
      <c r="AH54" s="330"/>
      <c r="AI54" s="330"/>
      <c r="AJ54" s="330"/>
      <c r="AK54" s="330"/>
      <c r="AL54" s="330"/>
      <c r="AM54" s="330"/>
      <c r="AN54" s="330"/>
      <c r="AO54" s="330"/>
      <c r="AP54" s="330"/>
      <c r="AQ54" s="330"/>
      <c r="AR54" s="54"/>
      <c r="AS54" s="55">
        <v>0.39213861110094211</v>
      </c>
      <c r="AT54" s="55">
        <v>0.38814829659736028</v>
      </c>
      <c r="AU54" s="55">
        <v>0.38902700432493387</v>
      </c>
      <c r="AV54" s="55">
        <v>0.39870183141638926</v>
      </c>
      <c r="AW54" s="55">
        <v>0.41129085391226028</v>
      </c>
      <c r="AX54" s="55">
        <v>0.39527664271923357</v>
      </c>
      <c r="AY54" s="55"/>
      <c r="AZ54" s="55"/>
      <c r="BA54" s="55"/>
      <c r="BB54" s="55"/>
      <c r="BC54" s="55"/>
      <c r="BD54" s="15"/>
      <c r="BE54" s="2"/>
      <c r="BF54" s="2"/>
    </row>
    <row r="55" spans="1:66">
      <c r="A55" s="2" t="s">
        <v>38</v>
      </c>
      <c r="B55" s="329"/>
      <c r="C55" s="329"/>
      <c r="D55" s="329"/>
      <c r="E55" s="329"/>
      <c r="F55" s="329"/>
      <c r="G55" s="329"/>
      <c r="H55" s="329"/>
      <c r="I55" s="329"/>
      <c r="J55" s="329"/>
      <c r="K55" s="329"/>
      <c r="L55" s="329"/>
      <c r="M55" s="329"/>
      <c r="N55" s="329"/>
      <c r="O55" s="329"/>
      <c r="P55" s="329"/>
      <c r="Q55" s="329"/>
      <c r="R55" s="329"/>
      <c r="S55" s="329"/>
      <c r="T55" s="329"/>
      <c r="U55" s="329"/>
      <c r="V55" s="329"/>
      <c r="W55" s="329"/>
      <c r="X55" s="329"/>
      <c r="Y55" s="329"/>
      <c r="Z55" s="329"/>
      <c r="AA55" s="329"/>
      <c r="AB55" s="329"/>
      <c r="AC55" s="330"/>
      <c r="AD55" s="330"/>
      <c r="AE55" s="329"/>
      <c r="AF55" s="330"/>
      <c r="AG55" s="330"/>
      <c r="AH55" s="330"/>
      <c r="AI55" s="330"/>
      <c r="AJ55" s="330"/>
      <c r="AK55" s="330"/>
      <c r="AL55" s="330"/>
      <c r="AM55" s="330"/>
      <c r="AN55" s="330"/>
      <c r="AO55" s="330"/>
      <c r="AP55" s="330"/>
      <c r="AQ55" s="330"/>
      <c r="AR55" s="54"/>
      <c r="AS55" s="54">
        <v>11715.281483624167</v>
      </c>
      <c r="AT55" s="54">
        <v>12259.077450105298</v>
      </c>
      <c r="AU55" s="54">
        <v>13246.191312942548</v>
      </c>
      <c r="AV55" s="54">
        <v>14107.276154655057</v>
      </c>
      <c r="AW55" s="54">
        <v>14748.6317643531</v>
      </c>
      <c r="AX55" s="54">
        <v>14783.269801792994</v>
      </c>
      <c r="AY55" s="54"/>
      <c r="AZ55" s="54"/>
      <c r="BA55" s="54"/>
      <c r="BB55" s="54"/>
      <c r="BC55" s="54"/>
      <c r="BD55" s="15"/>
      <c r="BE55" s="2"/>
      <c r="BF55" s="2"/>
    </row>
    <row r="56" spans="1:66">
      <c r="A56" s="2" t="s">
        <v>39</v>
      </c>
      <c r="B56" s="329"/>
      <c r="C56" s="329"/>
      <c r="D56" s="329"/>
      <c r="E56" s="329"/>
      <c r="F56" s="329"/>
      <c r="G56" s="329"/>
      <c r="H56" s="329"/>
      <c r="I56" s="329"/>
      <c r="J56" s="329"/>
      <c r="K56" s="329"/>
      <c r="L56" s="329"/>
      <c r="M56" s="329"/>
      <c r="N56" s="329"/>
      <c r="O56" s="329"/>
      <c r="P56" s="329"/>
      <c r="Q56" s="329"/>
      <c r="R56" s="329"/>
      <c r="S56" s="329"/>
      <c r="T56" s="329"/>
      <c r="U56" s="329"/>
      <c r="V56" s="329"/>
      <c r="W56" s="329"/>
      <c r="X56" s="329"/>
      <c r="Y56" s="329"/>
      <c r="Z56" s="329"/>
      <c r="AA56" s="329"/>
      <c r="AB56" s="329"/>
      <c r="AC56" s="330"/>
      <c r="AD56" s="330"/>
      <c r="AE56" s="329"/>
      <c r="AF56" s="330"/>
      <c r="AG56" s="330"/>
      <c r="AH56" s="330"/>
      <c r="AI56" s="330"/>
      <c r="AJ56" s="330"/>
      <c r="AK56" s="330"/>
      <c r="AL56" s="330"/>
      <c r="AM56" s="330"/>
      <c r="AN56" s="330"/>
      <c r="AO56" s="330"/>
      <c r="AP56" s="330"/>
      <c r="AQ56" s="330"/>
      <c r="AR56" s="54"/>
      <c r="AS56" s="54">
        <v>8991.8276054287162</v>
      </c>
      <c r="AT56" s="54">
        <v>7574.5287197247335</v>
      </c>
      <c r="AU56" s="54">
        <v>9337.5226490961541</v>
      </c>
      <c r="AV56" s="54">
        <v>7660.3561969238835</v>
      </c>
      <c r="AW56" s="54">
        <v>15598.857207101355</v>
      </c>
      <c r="AX56" s="54">
        <v>6139.765162952016</v>
      </c>
      <c r="AY56" s="54"/>
      <c r="AZ56" s="54"/>
      <c r="BA56" s="54"/>
      <c r="BB56" s="54"/>
      <c r="BC56" s="54"/>
      <c r="BD56" s="15"/>
      <c r="BE56" s="2"/>
      <c r="BF56" s="2"/>
    </row>
    <row r="57" spans="1:66">
      <c r="A57" s="2" t="s">
        <v>345</v>
      </c>
      <c r="B57" s="329"/>
      <c r="C57" s="329"/>
      <c r="D57" s="329"/>
      <c r="E57" s="329"/>
      <c r="F57" s="329"/>
      <c r="G57" s="329"/>
      <c r="H57" s="329"/>
      <c r="I57" s="329"/>
      <c r="J57" s="329"/>
      <c r="K57" s="329"/>
      <c r="L57" s="329"/>
      <c r="M57" s="329"/>
      <c r="N57" s="329"/>
      <c r="O57" s="329"/>
      <c r="P57" s="329"/>
      <c r="Q57" s="329"/>
      <c r="R57" s="329"/>
      <c r="S57" s="329"/>
      <c r="T57" s="329"/>
      <c r="U57" s="329"/>
      <c r="V57" s="329"/>
      <c r="W57" s="329"/>
      <c r="X57" s="329"/>
      <c r="Y57" s="329"/>
      <c r="Z57" s="329"/>
      <c r="AA57" s="329"/>
      <c r="AB57" s="329"/>
      <c r="AC57" s="330"/>
      <c r="AD57" s="330"/>
      <c r="AE57" s="329"/>
      <c r="AF57" s="330"/>
      <c r="AG57" s="330"/>
      <c r="AH57" s="330"/>
      <c r="AI57" s="330"/>
      <c r="AJ57" s="330"/>
      <c r="AK57" s="330"/>
      <c r="AL57" s="330"/>
      <c r="AM57" s="330"/>
      <c r="AN57" s="330"/>
      <c r="AO57" s="330"/>
      <c r="AP57" s="330"/>
      <c r="AQ57" s="330"/>
      <c r="AR57" s="54"/>
      <c r="AS57" s="54">
        <v>7398.6720760170101</v>
      </c>
      <c r="AT57" s="54">
        <v>9370.5656827859311</v>
      </c>
      <c r="AU57" s="54">
        <v>8808.8497259960131</v>
      </c>
      <c r="AV57" s="54">
        <v>11389.241804780253</v>
      </c>
      <c r="AW57" s="54">
        <v>4081.217144516675</v>
      </c>
      <c r="AX57" s="54">
        <v>13839.569995381979</v>
      </c>
      <c r="AY57" s="54"/>
      <c r="AZ57" s="54"/>
      <c r="BA57" s="54"/>
      <c r="BB57" s="54"/>
      <c r="BC57" s="54"/>
      <c r="BD57" s="15"/>
      <c r="BE57" s="2"/>
      <c r="BF57" s="2"/>
    </row>
    <row r="58" spans="1:66">
      <c r="A58" s="2" t="s">
        <v>346</v>
      </c>
      <c r="B58" s="329"/>
      <c r="C58" s="329"/>
      <c r="D58" s="329"/>
      <c r="E58" s="329"/>
      <c r="F58" s="329"/>
      <c r="G58" s="329"/>
      <c r="H58" s="329"/>
      <c r="I58" s="329"/>
      <c r="J58" s="329"/>
      <c r="K58" s="329"/>
      <c r="L58" s="329"/>
      <c r="M58" s="329"/>
      <c r="N58" s="329"/>
      <c r="O58" s="329"/>
      <c r="P58" s="329"/>
      <c r="Q58" s="329"/>
      <c r="R58" s="329"/>
      <c r="S58" s="329"/>
      <c r="T58" s="329"/>
      <c r="U58" s="329"/>
      <c r="V58" s="329"/>
      <c r="W58" s="329"/>
      <c r="X58" s="329"/>
      <c r="Y58" s="329"/>
      <c r="Z58" s="329"/>
      <c r="AA58" s="329"/>
      <c r="AB58" s="329"/>
      <c r="AC58" s="330"/>
      <c r="AD58" s="330"/>
      <c r="AE58" s="329"/>
      <c r="AF58" s="330"/>
      <c r="AG58" s="330"/>
      <c r="AH58" s="330"/>
      <c r="AI58" s="330"/>
      <c r="AJ58" s="330"/>
      <c r="AK58" s="330"/>
      <c r="AL58" s="330"/>
      <c r="AM58" s="330"/>
      <c r="AN58" s="330"/>
      <c r="AO58" s="330"/>
      <c r="AP58" s="330"/>
      <c r="AQ58" s="330"/>
      <c r="AR58" s="54"/>
      <c r="AS58" s="54">
        <v>255574.18616997896</v>
      </c>
      <c r="AT58" s="54">
        <v>264121.93341078947</v>
      </c>
      <c r="AU58" s="54">
        <v>273768.14173971897</v>
      </c>
      <c r="AV58" s="54">
        <v>280014.62824602099</v>
      </c>
      <c r="AW58" s="54">
        <v>291371.86578830902</v>
      </c>
      <c r="AX58" s="54">
        <v>298609.45165093406</v>
      </c>
      <c r="AY58" s="54"/>
      <c r="AZ58" s="54"/>
      <c r="BA58" s="54"/>
      <c r="BB58" s="54"/>
      <c r="BC58" s="54"/>
      <c r="BD58" s="15"/>
      <c r="BE58" s="2"/>
      <c r="BF58" s="2"/>
    </row>
    <row r="59" spans="1:66">
      <c r="A59" s="2"/>
      <c r="B59" s="329"/>
      <c r="C59" s="329"/>
      <c r="D59" s="329"/>
      <c r="E59" s="329"/>
      <c r="F59" s="329"/>
      <c r="G59" s="329"/>
      <c r="H59" s="329"/>
      <c r="I59" s="329"/>
      <c r="J59" s="329"/>
      <c r="K59" s="329"/>
      <c r="L59" s="329"/>
      <c r="M59" s="329"/>
      <c r="N59" s="329"/>
      <c r="O59" s="329"/>
      <c r="P59" s="329"/>
      <c r="Q59" s="329"/>
      <c r="R59" s="329"/>
      <c r="S59" s="329"/>
      <c r="T59" s="329"/>
      <c r="U59" s="329"/>
      <c r="V59" s="329"/>
      <c r="W59" s="329"/>
      <c r="X59" s="329"/>
      <c r="Y59" s="329"/>
      <c r="Z59" s="329"/>
      <c r="AA59" s="329"/>
      <c r="AB59" s="329"/>
      <c r="AC59" s="330"/>
      <c r="AD59" s="330"/>
      <c r="AE59" s="329"/>
      <c r="AF59" s="330"/>
      <c r="AG59" s="330"/>
      <c r="AH59" s="330"/>
      <c r="AI59" s="330"/>
      <c r="AJ59" s="330"/>
      <c r="AK59" s="330"/>
      <c r="AL59" s="330"/>
      <c r="AM59" s="330"/>
      <c r="AN59" s="330"/>
      <c r="AO59" s="330"/>
      <c r="AP59" s="330"/>
      <c r="AQ59" s="330"/>
      <c r="AR59" s="54"/>
      <c r="AS59" s="54"/>
      <c r="AT59" s="54"/>
      <c r="AU59" s="54"/>
      <c r="AV59" s="54"/>
      <c r="AW59" s="54"/>
      <c r="AX59" s="54"/>
      <c r="AY59" s="54"/>
      <c r="AZ59" s="54"/>
      <c r="BA59" s="54"/>
      <c r="BB59" s="54"/>
      <c r="BC59" s="54"/>
      <c r="BD59" s="15"/>
      <c r="BE59" s="2"/>
      <c r="BF59" s="2"/>
    </row>
    <row r="60" spans="1:66">
      <c r="A60" s="2"/>
      <c r="B60" s="321"/>
      <c r="C60" s="321"/>
      <c r="D60" s="321"/>
      <c r="E60" s="321"/>
      <c r="F60" s="321"/>
      <c r="G60" s="321"/>
      <c r="H60" s="321"/>
      <c r="I60" s="321"/>
      <c r="J60" s="321"/>
      <c r="K60" s="321"/>
      <c r="L60" s="321"/>
      <c r="M60" s="321"/>
      <c r="N60" s="321"/>
      <c r="O60" s="321"/>
      <c r="P60" s="321"/>
      <c r="Q60" s="321"/>
      <c r="R60" s="321"/>
      <c r="S60" s="321"/>
      <c r="T60" s="321"/>
      <c r="U60" s="321"/>
      <c r="V60" s="321"/>
      <c r="W60" s="321"/>
      <c r="X60" s="321"/>
      <c r="Y60" s="321"/>
      <c r="Z60" s="321"/>
      <c r="AA60" s="321"/>
      <c r="AB60" s="321"/>
      <c r="AC60" s="321"/>
      <c r="AD60" s="321"/>
      <c r="AE60" s="322"/>
      <c r="AF60" s="322"/>
      <c r="AG60" s="322"/>
      <c r="AH60" s="322"/>
      <c r="AI60" s="322"/>
      <c r="AJ60" s="322"/>
      <c r="AK60" s="322"/>
      <c r="AL60" s="322"/>
      <c r="AM60" s="322"/>
      <c r="AN60" s="322"/>
      <c r="AO60" s="322"/>
      <c r="AP60" s="322"/>
      <c r="AQ60" s="322"/>
      <c r="AR60" s="14"/>
      <c r="AS60" s="14"/>
      <c r="AT60" s="14"/>
      <c r="AU60" s="14"/>
      <c r="AV60" s="14"/>
      <c r="AW60" s="14"/>
      <c r="AX60" s="14"/>
      <c r="AY60" s="14"/>
      <c r="AZ60" s="14"/>
      <c r="BA60" s="14"/>
      <c r="BB60" s="14"/>
      <c r="BC60" s="14"/>
      <c r="BD60" s="2"/>
      <c r="BE60" s="2"/>
      <c r="BF60" s="2"/>
    </row>
    <row r="61" spans="1:66" s="27" customFormat="1">
      <c r="A61" s="510" t="s">
        <v>419</v>
      </c>
      <c r="B61" s="530" t="str">
        <f>'Revenue, EBITDA, capex breakout'!B$1</f>
        <v>Q1 12</v>
      </c>
      <c r="C61" s="530" t="str">
        <f>'Revenue, EBITDA, capex breakout'!C$1</f>
        <v>Q2 12</v>
      </c>
      <c r="D61" s="530" t="str">
        <f>'Revenue, EBITDA, capex breakout'!D$1</f>
        <v>Q3 12</v>
      </c>
      <c r="E61" s="530" t="str">
        <f>'Revenue, EBITDA, capex breakout'!E$1</f>
        <v>4Q12</v>
      </c>
      <c r="F61" s="530" t="str">
        <f>'Revenue, EBITDA, capex breakout'!F$1</f>
        <v>1Q13</v>
      </c>
      <c r="G61" s="530" t="str">
        <f>'Revenue, EBITDA, capex breakout'!G$1</f>
        <v>2Q13</v>
      </c>
      <c r="H61" s="530" t="str">
        <f>'Revenue, EBITDA, capex breakout'!H$1</f>
        <v>3Q13</v>
      </c>
      <c r="I61" s="530" t="str">
        <f>'Revenue, EBITDA, capex breakout'!I$1</f>
        <v>4Q13</v>
      </c>
      <c r="J61" s="530" t="str">
        <f>'Revenue, EBITDA, capex breakout'!J$1</f>
        <v>1Q14</v>
      </c>
      <c r="K61" s="530" t="str">
        <f>'Revenue, EBITDA, capex breakout'!K$1</f>
        <v>2Q14</v>
      </c>
      <c r="L61" s="530" t="str">
        <f>'Revenue, EBITDA, capex breakout'!L$1</f>
        <v>3Q14</v>
      </c>
      <c r="M61" s="530" t="str">
        <f>'Revenue, EBITDA, capex breakout'!M$1</f>
        <v>4Q14</v>
      </c>
      <c r="N61" s="530" t="str">
        <f>'Revenue, EBITDA, capex breakout'!N$1</f>
        <v>1Q15</v>
      </c>
      <c r="O61" s="530" t="str">
        <f>'Revenue, EBITDA, capex breakout'!O$1</f>
        <v>2Q15</v>
      </c>
      <c r="P61" s="530" t="str">
        <f>'Revenue, EBITDA, capex breakout'!P$1</f>
        <v>3Q15</v>
      </c>
      <c r="Q61" s="530" t="str">
        <f>'Revenue, EBITDA, capex breakout'!Q$1</f>
        <v>4Q15</v>
      </c>
      <c r="R61" s="530" t="str">
        <f>'Revenue, EBITDA, capex breakout'!R$1</f>
        <v>1Q16</v>
      </c>
      <c r="S61" s="530" t="str">
        <f>'Revenue, EBITDA, capex breakout'!S$1</f>
        <v>2Q16</v>
      </c>
      <c r="T61" s="530" t="str">
        <f>'Revenue, EBITDA, capex breakout'!T$1</f>
        <v>3Q16</v>
      </c>
      <c r="U61" s="530" t="str">
        <f>'Revenue, EBITDA, capex breakout'!U$1</f>
        <v>4Q16</v>
      </c>
      <c r="V61" s="530" t="str">
        <f>'Revenue, EBITDA, capex breakout'!V$1</f>
        <v>1Q17</v>
      </c>
      <c r="W61" s="530" t="str">
        <f>'Revenue, EBITDA, capex breakout'!W$1</f>
        <v>2Q17</v>
      </c>
      <c r="X61" s="530" t="str">
        <f>'Revenue, EBITDA, capex breakout'!X$1</f>
        <v>3Q17</v>
      </c>
      <c r="Y61" s="530" t="str">
        <f>'Revenue, EBITDA, capex breakout'!Y$1</f>
        <v>4Q17</v>
      </c>
      <c r="Z61" s="530" t="str">
        <f>'Revenue, EBITDA, capex breakout'!Z$1</f>
        <v>1Q18</v>
      </c>
      <c r="AA61" s="530" t="str">
        <f>'Revenue, EBITDA, capex breakout'!AA$1</f>
        <v>2Q18</v>
      </c>
      <c r="AB61" s="530" t="str">
        <f>'Revenue, EBITDA, capex breakout'!AB$1</f>
        <v>3Q18</v>
      </c>
      <c r="AC61" s="530" t="str">
        <f>'Revenue, EBITDA, capex breakout'!AC$1</f>
        <v>4Q18</v>
      </c>
      <c r="AD61" s="530" t="str">
        <f t="shared" ref="AD61:AI61" si="2">AD1</f>
        <v>1Q19</v>
      </c>
      <c r="AE61" s="530" t="str">
        <f t="shared" si="2"/>
        <v>2Q19</v>
      </c>
      <c r="AF61" s="530" t="str">
        <f t="shared" si="2"/>
        <v>3Q19</v>
      </c>
      <c r="AG61" s="530" t="str">
        <f t="shared" si="2"/>
        <v>4Q19</v>
      </c>
      <c r="AH61" s="530" t="str">
        <f t="shared" si="2"/>
        <v>1Q20</v>
      </c>
      <c r="AI61" s="530" t="str">
        <f t="shared" si="2"/>
        <v>2Q20</v>
      </c>
      <c r="AJ61" s="530" t="str">
        <f t="shared" ref="AJ61:AK61" si="3">AJ1</f>
        <v>3Q20</v>
      </c>
      <c r="AK61" s="530" t="str">
        <f t="shared" si="3"/>
        <v>4Q20</v>
      </c>
      <c r="AL61" s="530" t="str">
        <f t="shared" ref="AL61:AM61" si="4">AL1</f>
        <v>1Q21</v>
      </c>
      <c r="AM61" s="530" t="str">
        <f t="shared" si="4"/>
        <v>2Q21</v>
      </c>
      <c r="AN61" s="530" t="str">
        <f t="shared" ref="AN61:AO61" si="5">AN1</f>
        <v>3Q21</v>
      </c>
      <c r="AO61" s="530" t="str">
        <f t="shared" si="5"/>
        <v>4Q21</v>
      </c>
      <c r="AP61" s="530" t="str">
        <f t="shared" ref="AP61:AQ61" si="6">AP1</f>
        <v>1Q22</v>
      </c>
      <c r="AQ61" s="530" t="str">
        <f t="shared" si="6"/>
        <v>2Q22</v>
      </c>
      <c r="AR61" s="530" t="str">
        <f t="shared" ref="AR61:AS61" si="7">AR1</f>
        <v>3Q22</v>
      </c>
      <c r="AS61" s="530" t="str">
        <f t="shared" si="7"/>
        <v>4Q22</v>
      </c>
      <c r="AT61" s="530" t="str">
        <f t="shared" ref="AT61:AU61" si="8">AT1</f>
        <v>1Q23</v>
      </c>
      <c r="AU61" s="530" t="str">
        <f t="shared" si="8"/>
        <v>2Q23</v>
      </c>
      <c r="AV61" s="530" t="str">
        <f t="shared" ref="AV61:AW61" si="9">AV1</f>
        <v>3Q23</v>
      </c>
      <c r="AW61" s="530" t="str">
        <f t="shared" si="9"/>
        <v>4Q23</v>
      </c>
      <c r="AX61" s="530" t="str">
        <f t="shared" ref="AX61:AY61" si="10">AX1</f>
        <v>1Q24</v>
      </c>
      <c r="AY61" s="530" t="str">
        <f t="shared" si="10"/>
        <v>2Q24</v>
      </c>
      <c r="AZ61" s="530" t="str">
        <f t="shared" ref="AZ61:BA61" si="11">AZ1</f>
        <v>3Q24</v>
      </c>
      <c r="BA61" s="530" t="str">
        <f t="shared" si="11"/>
        <v>4Q24</v>
      </c>
      <c r="BB61" s="530" t="str">
        <f t="shared" ref="BB61:BC61" si="12">BB1</f>
        <v>1Q25</v>
      </c>
      <c r="BC61" s="530" t="str">
        <f t="shared" si="12"/>
        <v>2Q25</v>
      </c>
      <c r="BD61" s="527"/>
      <c r="BE61" s="510" t="s">
        <v>209</v>
      </c>
      <c r="BF61" s="176"/>
    </row>
    <row r="62" spans="1:66" s="27" customFormat="1">
      <c r="A62" s="510" t="s">
        <v>168</v>
      </c>
      <c r="B62" s="530"/>
      <c r="C62" s="530"/>
      <c r="D62" s="530"/>
      <c r="E62" s="530"/>
      <c r="F62" s="530"/>
      <c r="G62" s="530"/>
      <c r="H62" s="530"/>
      <c r="I62" s="530"/>
      <c r="J62" s="530"/>
      <c r="K62" s="530"/>
      <c r="L62" s="530"/>
      <c r="M62" s="530"/>
      <c r="N62" s="530"/>
      <c r="O62" s="530"/>
      <c r="P62" s="530"/>
      <c r="Q62" s="530"/>
      <c r="R62" s="530"/>
      <c r="S62" s="530"/>
      <c r="T62" s="530"/>
      <c r="U62" s="530"/>
      <c r="V62" s="530"/>
      <c r="W62" s="530"/>
      <c r="X62" s="530"/>
      <c r="Y62" s="530"/>
      <c r="Z62" s="530"/>
      <c r="AA62" s="530"/>
      <c r="AB62" s="530"/>
      <c r="AC62" s="530"/>
      <c r="AD62" s="530"/>
      <c r="AE62" s="530"/>
      <c r="AF62" s="531"/>
      <c r="AG62" s="531"/>
      <c r="AH62" s="531"/>
      <c r="AI62" s="531"/>
      <c r="AJ62" s="531"/>
      <c r="AK62" s="531"/>
      <c r="AL62" s="531"/>
      <c r="AM62" s="531"/>
      <c r="AN62" s="531"/>
      <c r="AO62" s="531"/>
      <c r="AP62" s="531"/>
      <c r="AQ62" s="531"/>
      <c r="AR62" s="531"/>
      <c r="AS62" s="531"/>
      <c r="AT62" s="531"/>
      <c r="AU62" s="531"/>
      <c r="AV62" s="531"/>
      <c r="AW62" s="531"/>
      <c r="AX62" s="531"/>
      <c r="AY62" s="531"/>
      <c r="AZ62" s="531"/>
      <c r="BA62" s="531"/>
      <c r="BB62" s="531"/>
      <c r="BC62" s="531"/>
      <c r="BD62" s="527"/>
      <c r="BE62" s="510"/>
      <c r="BF62" s="176"/>
    </row>
    <row r="63" spans="1:66">
      <c r="A63" s="2"/>
      <c r="B63" s="321"/>
      <c r="C63" s="321"/>
      <c r="D63" s="321"/>
      <c r="E63" s="321"/>
      <c r="F63" s="321"/>
      <c r="G63" s="321"/>
      <c r="H63" s="321"/>
      <c r="I63" s="321"/>
      <c r="J63" s="321"/>
      <c r="K63" s="321"/>
      <c r="L63" s="321"/>
      <c r="M63" s="321"/>
      <c r="N63" s="321"/>
      <c r="O63" s="321"/>
      <c r="P63" s="321"/>
      <c r="Q63" s="321"/>
      <c r="R63" s="321" t="s">
        <v>189</v>
      </c>
      <c r="S63" s="321"/>
      <c r="T63" s="321"/>
      <c r="U63" s="321"/>
      <c r="V63" s="321"/>
      <c r="W63" s="321"/>
      <c r="X63" s="321"/>
      <c r="Y63" s="321"/>
      <c r="Z63" s="321"/>
      <c r="AA63" s="321"/>
      <c r="AB63" s="321"/>
      <c r="AC63" s="321"/>
      <c r="AD63" s="321"/>
      <c r="AE63" s="321"/>
      <c r="AF63" s="322"/>
      <c r="AG63" s="322"/>
      <c r="AH63" s="322"/>
      <c r="AI63" s="322"/>
      <c r="AJ63" s="322"/>
      <c r="AK63" s="322"/>
      <c r="AL63" s="322"/>
      <c r="AM63" s="322"/>
      <c r="AN63" s="322"/>
      <c r="AO63" s="322"/>
      <c r="AP63" s="322"/>
      <c r="AQ63" s="322"/>
      <c r="AR63" s="322"/>
      <c r="AS63" s="322"/>
      <c r="AT63" s="322"/>
      <c r="AU63" s="322"/>
      <c r="AV63" s="322"/>
      <c r="AW63" s="322"/>
      <c r="AX63" s="322"/>
      <c r="AY63" s="322"/>
      <c r="AZ63" s="322"/>
      <c r="BA63" s="322"/>
      <c r="BB63" s="322"/>
      <c r="BC63" s="322"/>
      <c r="BD63" s="2"/>
      <c r="BE63" s="2"/>
      <c r="BF63" s="2"/>
    </row>
    <row r="64" spans="1:66" s="193" customFormat="1">
      <c r="A64" s="2" t="s">
        <v>66</v>
      </c>
      <c r="B64" s="353"/>
      <c r="C64" s="353"/>
      <c r="D64" s="353"/>
      <c r="E64" s="353"/>
      <c r="F64" s="353">
        <f t="shared" ref="F64:AC64" si="13">F6/B6-1</f>
        <v>-1.6290509675372933E-3</v>
      </c>
      <c r="G64" s="353">
        <f t="shared" si="13"/>
        <v>1.4575577246023208E-4</v>
      </c>
      <c r="H64" s="353">
        <f t="shared" si="13"/>
        <v>4.7948024211217799E-2</v>
      </c>
      <c r="I64" s="353">
        <f t="shared" si="13"/>
        <v>5.0423271905405409E-2</v>
      </c>
      <c r="J64" s="353">
        <f t="shared" si="13"/>
        <v>4.4458476726516594E-3</v>
      </c>
      <c r="K64" s="353">
        <f t="shared" si="13"/>
        <v>2.3866948311607183E-2</v>
      </c>
      <c r="L64" s="353">
        <f t="shared" si="13"/>
        <v>3.174963372258266E-2</v>
      </c>
      <c r="M64" s="353">
        <f t="shared" si="13"/>
        <v>6.4594698547166374E-2</v>
      </c>
      <c r="N64" s="353">
        <f t="shared" si="13"/>
        <v>0.12880738297130079</v>
      </c>
      <c r="O64" s="353">
        <f t="shared" si="13"/>
        <v>0.14383677977561704</v>
      </c>
      <c r="P64" s="353">
        <f t="shared" si="13"/>
        <v>0.13187836310710099</v>
      </c>
      <c r="Q64" s="353">
        <f t="shared" si="13"/>
        <v>0.10213744845440376</v>
      </c>
      <c r="R64" s="398">
        <f t="shared" si="13"/>
        <v>-0.44073481274209658</v>
      </c>
      <c r="S64" s="399">
        <f t="shared" si="13"/>
        <v>-0.44900723338556336</v>
      </c>
      <c r="T64" s="399">
        <f t="shared" si="13"/>
        <v>-0.43220540479121594</v>
      </c>
      <c r="U64" s="399">
        <f t="shared" si="13"/>
        <v>-0.41645000973628021</v>
      </c>
      <c r="V64" s="373">
        <f t="shared" si="13"/>
        <v>0.10974098039611868</v>
      </c>
      <c r="W64" s="373">
        <f t="shared" si="13"/>
        <v>0.14863078497183735</v>
      </c>
      <c r="X64" s="373">
        <f t="shared" si="13"/>
        <v>0.10762787349970004</v>
      </c>
      <c r="Y64" s="373">
        <f t="shared" si="13"/>
        <v>3.0022071113801729E-2</v>
      </c>
      <c r="Z64" s="373">
        <f t="shared" si="13"/>
        <v>8.9431534494375242E-3</v>
      </c>
      <c r="AA64" s="373">
        <f t="shared" si="13"/>
        <v>-9.856197245638354E-2</v>
      </c>
      <c r="AB64" s="373">
        <f t="shared" si="13"/>
        <v>-0.12421852898068431</v>
      </c>
      <c r="AC64" s="373">
        <f t="shared" si="13"/>
        <v>-0.10957405377894958</v>
      </c>
      <c r="AD64" s="373">
        <f t="shared" ref="AD64:AO64" si="14">AD6/Z6-1</f>
        <v>-0.1429988838322247</v>
      </c>
      <c r="AE64" s="373">
        <f t="shared" si="14"/>
        <v>-0.11932254185644731</v>
      </c>
      <c r="AF64" s="374">
        <f t="shared" si="14"/>
        <v>-0.10563043352222845</v>
      </c>
      <c r="AG64" s="374">
        <f t="shared" si="14"/>
        <v>-8.3746014665010526E-2</v>
      </c>
      <c r="AH64" s="374">
        <f t="shared" si="14"/>
        <v>-6.9883356767234117E-3</v>
      </c>
      <c r="AI64" s="374">
        <f t="shared" si="14"/>
        <v>-2.3589607128154388E-2</v>
      </c>
      <c r="AJ64" s="374">
        <f t="shared" si="14"/>
        <v>7.9104601029496013E-3</v>
      </c>
      <c r="AK64" s="374">
        <f t="shared" si="14"/>
        <v>3.4234909675314951E-2</v>
      </c>
      <c r="AL64" s="374">
        <f t="shared" si="14"/>
        <v>1.418708859121609E-2</v>
      </c>
      <c r="AM64" s="374">
        <f t="shared" si="14"/>
        <v>7.2771201826483889E-2</v>
      </c>
      <c r="AN64" s="374">
        <f t="shared" si="14"/>
        <v>2.2970493372342915E-2</v>
      </c>
      <c r="AO64" s="374">
        <f t="shared" si="14"/>
        <v>4.9602356106049239E-2</v>
      </c>
      <c r="AP64" s="374">
        <f t="shared" ref="AP64:BC64" si="15">AP6/AL6-1</f>
        <v>0.12910749101335894</v>
      </c>
      <c r="AQ64" s="374">
        <f t="shared" si="15"/>
        <v>0.21343223755544249</v>
      </c>
      <c r="AR64" s="374">
        <f t="shared" si="15"/>
        <v>0.40448533569251621</v>
      </c>
      <c r="AS64" s="374">
        <f t="shared" si="15"/>
        <v>0.45813414753843862</v>
      </c>
      <c r="AT64" s="374">
        <f t="shared" si="15"/>
        <v>0.41820574678160805</v>
      </c>
      <c r="AU64" s="374">
        <f t="shared" si="15"/>
        <v>0.38886113946962308</v>
      </c>
      <c r="AV64" s="374">
        <f t="shared" si="15"/>
        <v>0.29796555930054858</v>
      </c>
      <c r="AW64" s="374">
        <f t="shared" si="15"/>
        <v>0.25152797801392346</v>
      </c>
      <c r="AX64" s="374">
        <f t="shared" si="15"/>
        <v>0.25433727031560771</v>
      </c>
      <c r="AY64" s="374">
        <f t="shared" si="15"/>
        <v>0.23327216569506537</v>
      </c>
      <c r="AZ64" s="374">
        <f t="shared" si="15"/>
        <v>0.22961738597627068</v>
      </c>
      <c r="BA64" s="374">
        <f t="shared" si="15"/>
        <v>0.19962193073887713</v>
      </c>
      <c r="BB64" s="374">
        <f t="shared" si="15"/>
        <v>0.17632693684398437</v>
      </c>
      <c r="BC64" s="374">
        <f t="shared" si="15"/>
        <v>0.17313726280755581</v>
      </c>
      <c r="BD64" s="4"/>
      <c r="BE64" s="2"/>
      <c r="BF64" s="3"/>
      <c r="BI64" s="193">
        <v>3500</v>
      </c>
    </row>
    <row r="65" spans="1:58" s="193" customFormat="1">
      <c r="A65" s="2"/>
      <c r="B65" s="400"/>
      <c r="C65" s="400"/>
      <c r="D65" s="400"/>
      <c r="E65" s="400"/>
      <c r="F65" s="400"/>
      <c r="G65" s="400"/>
      <c r="H65" s="400"/>
      <c r="I65" s="400"/>
      <c r="J65" s="400"/>
      <c r="K65" s="400"/>
      <c r="L65" s="400"/>
      <c r="M65" s="400"/>
      <c r="N65" s="400"/>
      <c r="O65" s="400"/>
      <c r="P65" s="400"/>
      <c r="Q65" s="400"/>
      <c r="R65" s="400"/>
      <c r="S65" s="400"/>
      <c r="T65" s="400"/>
      <c r="U65" s="400"/>
      <c r="V65" s="400"/>
      <c r="W65" s="401"/>
      <c r="X65" s="401"/>
      <c r="Y65" s="401"/>
      <c r="Z65" s="401"/>
      <c r="AA65" s="401"/>
      <c r="AB65" s="401"/>
      <c r="AC65" s="401"/>
      <c r="AD65" s="401"/>
      <c r="AE65" s="401"/>
      <c r="AF65" s="356"/>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175"/>
      <c r="BE65" s="2"/>
      <c r="BF65" s="3"/>
    </row>
    <row r="66" spans="1:58" s="193" customFormat="1">
      <c r="A66" s="2" t="s">
        <v>69</v>
      </c>
      <c r="B66" s="353"/>
      <c r="C66" s="353"/>
      <c r="D66" s="353"/>
      <c r="E66" s="353"/>
      <c r="F66" s="353">
        <f t="shared" ref="F66:AC66" si="16">F7/B7-1</f>
        <v>-0.11493483991635689</v>
      </c>
      <c r="G66" s="353">
        <f t="shared" si="16"/>
        <v>-4.125965796344655E-2</v>
      </c>
      <c r="H66" s="353">
        <f t="shared" si="16"/>
        <v>0.17592296132128737</v>
      </c>
      <c r="I66" s="353">
        <f t="shared" si="16"/>
        <v>0.10955198593812576</v>
      </c>
      <c r="J66" s="353">
        <f t="shared" si="16"/>
        <v>-1.182700893851707E-2</v>
      </c>
      <c r="K66" s="353">
        <f t="shared" si="16"/>
        <v>-0.10455102433651375</v>
      </c>
      <c r="L66" s="353">
        <f t="shared" si="16"/>
        <v>-0.14194785351600414</v>
      </c>
      <c r="M66" s="353">
        <f t="shared" si="16"/>
        <v>-8.9321941125837689E-2</v>
      </c>
      <c r="N66" s="353">
        <f t="shared" si="16"/>
        <v>4.8430326757785247E-2</v>
      </c>
      <c r="O66" s="353">
        <f t="shared" si="16"/>
        <v>0.24576986927365851</v>
      </c>
      <c r="P66" s="353">
        <f t="shared" si="16"/>
        <v>0.23313265202806965</v>
      </c>
      <c r="Q66" s="353">
        <f t="shared" si="16"/>
        <v>0.3534330589713861</v>
      </c>
      <c r="R66" s="375">
        <f t="shared" si="16"/>
        <v>-0.36113885668590162</v>
      </c>
      <c r="S66" s="375">
        <f t="shared" si="16"/>
        <v>-0.41891578860742595</v>
      </c>
      <c r="T66" s="402">
        <f t="shared" si="16"/>
        <v>-0.38496008691668326</v>
      </c>
      <c r="U66" s="402">
        <f t="shared" si="16"/>
        <v>-0.45831575257170676</v>
      </c>
      <c r="V66" s="354">
        <f t="shared" si="16"/>
        <v>0.15580355303997062</v>
      </c>
      <c r="W66" s="354">
        <f t="shared" si="16"/>
        <v>0.27847006703560218</v>
      </c>
      <c r="X66" s="354">
        <f t="shared" si="16"/>
        <v>0.25940150335864476</v>
      </c>
      <c r="Y66" s="354">
        <f t="shared" si="16"/>
        <v>0.18767350357403689</v>
      </c>
      <c r="Z66" s="354">
        <f t="shared" si="16"/>
        <v>3.4386335742871976E-2</v>
      </c>
      <c r="AA66" s="354">
        <f t="shared" si="16"/>
        <v>-0.18890996372328306</v>
      </c>
      <c r="AB66" s="354">
        <f t="shared" si="16"/>
        <v>-0.10014029957246695</v>
      </c>
      <c r="AC66" s="354">
        <f t="shared" si="16"/>
        <v>-9.6754151577689962E-2</v>
      </c>
      <c r="AD66" s="354">
        <f t="shared" ref="AD66:AN66" si="17">AD7/Z7-1</f>
        <v>-5.1442293233891379E-2</v>
      </c>
      <c r="AE66" s="354">
        <f t="shared" si="17"/>
        <v>8.0051940699815916E-2</v>
      </c>
      <c r="AF66" s="327">
        <f t="shared" si="17"/>
        <v>-0.15909545621461185</v>
      </c>
      <c r="AG66" s="327">
        <f t="shared" si="17"/>
        <v>-0.18359376654573878</v>
      </c>
      <c r="AH66" s="327">
        <f t="shared" si="17"/>
        <v>-0.11726659250170168</v>
      </c>
      <c r="AI66" s="327">
        <f t="shared" si="17"/>
        <v>-0.15732856990737332</v>
      </c>
      <c r="AJ66" s="327">
        <f t="shared" si="17"/>
        <v>0.27844468881107787</v>
      </c>
      <c r="AK66" s="327">
        <f t="shared" si="17"/>
        <v>0.22913058648832441</v>
      </c>
      <c r="AL66" s="327">
        <f t="shared" si="17"/>
        <v>0.39216125423003034</v>
      </c>
      <c r="AM66" s="327">
        <f t="shared" si="17"/>
        <v>0.38586339093484368</v>
      </c>
      <c r="AN66" s="327">
        <f t="shared" si="17"/>
        <v>-4.5842292409545737E-2</v>
      </c>
      <c r="AO66" s="327">
        <f t="shared" ref="AO66:AS66" si="18">AO7/AK7-1</f>
        <v>0.11048669943607425</v>
      </c>
      <c r="AP66" s="327">
        <f t="shared" si="18"/>
        <v>-8.0902923140431571E-2</v>
      </c>
      <c r="AQ66" s="327">
        <f t="shared" si="18"/>
        <v>0.10352893224605975</v>
      </c>
      <c r="AR66" s="327">
        <f t="shared" si="18"/>
        <v>0.38292114648322229</v>
      </c>
      <c r="AS66" s="327">
        <f t="shared" si="18"/>
        <v>0.42726171531102719</v>
      </c>
      <c r="AT66" s="327">
        <f t="shared" ref="AT66:BC66" si="19">AT7/AP7-1</f>
        <v>0.52564171554333439</v>
      </c>
      <c r="AU66" s="327">
        <f t="shared" si="19"/>
        <v>0.31865009949722234</v>
      </c>
      <c r="AV66" s="327">
        <f t="shared" si="19"/>
        <v>0.18711976841944966</v>
      </c>
      <c r="AW66" s="327">
        <f t="shared" si="19"/>
        <v>0.15766391890104559</v>
      </c>
      <c r="AX66" s="327">
        <f t="shared" si="19"/>
        <v>0.18943124264062972</v>
      </c>
      <c r="AY66" s="327">
        <f t="shared" si="19"/>
        <v>0.21878634581407863</v>
      </c>
      <c r="AZ66" s="327">
        <f t="shared" si="19"/>
        <v>0.23403975450558989</v>
      </c>
      <c r="BA66" s="327">
        <f t="shared" si="19"/>
        <v>0.18807362115786819</v>
      </c>
      <c r="BB66" s="327">
        <f t="shared" si="19"/>
        <v>0.17175702604112142</v>
      </c>
      <c r="BC66" s="327">
        <f t="shared" si="19"/>
        <v>0.18598547684961542</v>
      </c>
      <c r="BD66" s="4"/>
      <c r="BE66" s="2"/>
      <c r="BF66" s="3"/>
    </row>
    <row r="67" spans="1:58" s="193" customFormat="1">
      <c r="A67" s="2" t="s">
        <v>72</v>
      </c>
      <c r="B67" s="375">
        <f t="shared" ref="B67:Y67" si="20">B7/B6</f>
        <v>0.45511261499418421</v>
      </c>
      <c r="C67" s="375">
        <f t="shared" si="20"/>
        <v>0.44217044500419816</v>
      </c>
      <c r="D67" s="375">
        <f t="shared" si="20"/>
        <v>0.3880368098159509</v>
      </c>
      <c r="E67" s="375">
        <f t="shared" si="20"/>
        <v>0.4123645956471082</v>
      </c>
      <c r="F67" s="375">
        <f t="shared" si="20"/>
        <v>0.40346157892141915</v>
      </c>
      <c r="G67" s="375">
        <f t="shared" si="20"/>
        <v>0.42386486293126469</v>
      </c>
      <c r="H67" s="375">
        <f t="shared" si="20"/>
        <v>0.43542368892187439</v>
      </c>
      <c r="I67" s="375">
        <f t="shared" si="20"/>
        <v>0.43557675107566002</v>
      </c>
      <c r="J67" s="375">
        <f t="shared" si="20"/>
        <v>0.39692516639393799</v>
      </c>
      <c r="K67" s="375">
        <f t="shared" si="20"/>
        <v>0.37070183577801324</v>
      </c>
      <c r="L67" s="375">
        <f t="shared" si="20"/>
        <v>0.36211908267064336</v>
      </c>
      <c r="M67" s="375">
        <f t="shared" si="20"/>
        <v>0.37260207166316445</v>
      </c>
      <c r="N67" s="375">
        <f t="shared" si="20"/>
        <v>0.36866199510972275</v>
      </c>
      <c r="O67" s="375">
        <f t="shared" si="20"/>
        <v>0.4037369541371737</v>
      </c>
      <c r="P67" s="375">
        <f t="shared" si="20"/>
        <v>0.39451312024185192</v>
      </c>
      <c r="Q67" s="375">
        <f t="shared" si="20"/>
        <v>0.45755814062697209</v>
      </c>
      <c r="R67" s="398">
        <f t="shared" si="20"/>
        <v>0.42113085001238054</v>
      </c>
      <c r="S67" s="399">
        <f t="shared" si="20"/>
        <v>0.42578629669925777</v>
      </c>
      <c r="T67" s="399">
        <f t="shared" si="20"/>
        <v>0.42733995221380178</v>
      </c>
      <c r="U67" s="399">
        <f t="shared" si="20"/>
        <v>0.42473145608005319</v>
      </c>
      <c r="V67" s="373">
        <f t="shared" si="20"/>
        <v>0.43861093835185794</v>
      </c>
      <c r="W67" s="373">
        <f t="shared" si="20"/>
        <v>0.47391645984596142</v>
      </c>
      <c r="X67" s="373">
        <f t="shared" si="20"/>
        <v>0.48589656430618805</v>
      </c>
      <c r="Y67" s="373">
        <f t="shared" si="20"/>
        <v>0.48973930818319883</v>
      </c>
      <c r="Z67" s="373">
        <f t="shared" ref="Z67:AA67" si="21">Z7/Z6</f>
        <v>0.44967167851568912</v>
      </c>
      <c r="AA67" s="373">
        <f t="shared" si="21"/>
        <v>0.42641746505418565</v>
      </c>
      <c r="AB67" s="373">
        <f t="shared" ref="AB67:AC67" si="22">AB7/AB6</f>
        <v>0.49925552351140168</v>
      </c>
      <c r="AC67" s="373">
        <f t="shared" si="22"/>
        <v>0.49679032692503422</v>
      </c>
      <c r="AD67" s="373">
        <f t="shared" ref="AD67:AE67" si="23">AD7/AD6</f>
        <v>0.49771176270790896</v>
      </c>
      <c r="AE67" s="373">
        <f t="shared" si="23"/>
        <v>0.52295310436456954</v>
      </c>
      <c r="AF67" s="374">
        <f t="shared" ref="AF67:AG67" si="24">AF7/AF6</f>
        <v>0.4694102460172706</v>
      </c>
      <c r="AG67" s="374">
        <f t="shared" si="24"/>
        <v>0.44265315743548345</v>
      </c>
      <c r="AH67" s="374">
        <f t="shared" ref="AH67:AI67" si="25">AH7/AH6</f>
        <v>0.44243871047229394</v>
      </c>
      <c r="AI67" s="374">
        <f t="shared" si="25"/>
        <v>0.45132420091324199</v>
      </c>
      <c r="AJ67" s="374">
        <f t="shared" ref="AJ67:AK67" si="26">AJ7/AJ6</f>
        <v>0.59540510754594644</v>
      </c>
      <c r="AK67" s="374">
        <f t="shared" si="26"/>
        <v>0.5260686232109405</v>
      </c>
      <c r="AL67" s="374">
        <f t="shared" ref="AL67:AM67" si="27">AL7/AL6</f>
        <v>0.60732978857640796</v>
      </c>
      <c r="AM67" s="374">
        <f t="shared" si="27"/>
        <v>0.58304481554283172</v>
      </c>
      <c r="AN67" s="374">
        <f t="shared" ref="AN67" si="28">AN7/AN6</f>
        <v>0.55535362572467295</v>
      </c>
      <c r="AO67" s="374">
        <f t="shared" ref="AO67:AP67" si="29">AO7/AO6</f>
        <v>0.55658431563902822</v>
      </c>
      <c r="AP67" s="374">
        <f t="shared" si="29"/>
        <v>0.4943683730849609</v>
      </c>
      <c r="AQ67" s="374">
        <f t="shared" ref="AQ67:AR67" si="30">AQ7/AQ6</f>
        <v>0.5302371264206539</v>
      </c>
      <c r="AR67" s="374">
        <f t="shared" si="30"/>
        <v>0.54682683633153961</v>
      </c>
      <c r="AS67" s="374">
        <f t="shared" ref="AS67:AT67" si="31">AS7/AS6</f>
        <v>0.5448000010117261</v>
      </c>
      <c r="AT67" s="374">
        <f t="shared" si="31"/>
        <v>0.53181917682628876</v>
      </c>
      <c r="AU67" s="374">
        <f t="shared" ref="AU67:AV67" si="32">AU7/AU6</f>
        <v>0.50343207081071129</v>
      </c>
      <c r="AV67" s="374">
        <f t="shared" si="32"/>
        <v>0.50012802162582259</v>
      </c>
      <c r="AW67" s="374">
        <f t="shared" ref="AW67:AY67" si="33">AW7/AW6</f>
        <v>0.50394023567047408</v>
      </c>
      <c r="AX67" s="374">
        <f t="shared" si="33"/>
        <v>0.50430004698293673</v>
      </c>
      <c r="AY67" s="374">
        <f t="shared" si="33"/>
        <v>0.49751883729832919</v>
      </c>
      <c r="AZ67" s="374">
        <f t="shared" ref="AZ67:BA67" si="34">AZ7/AZ6</f>
        <v>0.50192675222990613</v>
      </c>
      <c r="BA67" s="374">
        <f t="shared" si="34"/>
        <v>0.49908899237229193</v>
      </c>
      <c r="BB67" s="374">
        <f t="shared" ref="BB67:BC67" si="35">BB7/BB6</f>
        <v>0.50234089246525238</v>
      </c>
      <c r="BC67" s="374">
        <f t="shared" si="35"/>
        <v>0.50296766985545704</v>
      </c>
      <c r="BD67" s="4"/>
      <c r="BE67" s="2"/>
      <c r="BF67" s="3"/>
    </row>
    <row r="68" spans="1:58" s="193" customFormat="1">
      <c r="A68" s="2" t="s">
        <v>75</v>
      </c>
      <c r="B68" s="353"/>
      <c r="C68" s="353"/>
      <c r="D68" s="353"/>
      <c r="E68" s="353"/>
      <c r="F68" s="353">
        <f t="shared" ref="F68:AC68" si="36">F67-B67</f>
        <v>-5.1651036072765055E-2</v>
      </c>
      <c r="G68" s="353">
        <f t="shared" si="36"/>
        <v>-1.8305582072933479E-2</v>
      </c>
      <c r="H68" s="353">
        <f t="shared" si="36"/>
        <v>4.7386879105923485E-2</v>
      </c>
      <c r="I68" s="353">
        <f t="shared" si="36"/>
        <v>2.3212155428551817E-2</v>
      </c>
      <c r="J68" s="353">
        <f t="shared" si="36"/>
        <v>-6.5364125274811613E-3</v>
      </c>
      <c r="K68" s="353">
        <f t="shared" si="36"/>
        <v>-5.3163027153251441E-2</v>
      </c>
      <c r="L68" s="353">
        <f t="shared" si="36"/>
        <v>-7.330460625123103E-2</v>
      </c>
      <c r="M68" s="353">
        <f t="shared" si="36"/>
        <v>-6.2974679412495571E-2</v>
      </c>
      <c r="N68" s="353">
        <f t="shared" si="36"/>
        <v>-2.8263171284215238E-2</v>
      </c>
      <c r="O68" s="353">
        <f t="shared" si="36"/>
        <v>3.3035118359160454E-2</v>
      </c>
      <c r="P68" s="353">
        <f t="shared" si="36"/>
        <v>3.2394037571208567E-2</v>
      </c>
      <c r="Q68" s="353">
        <f t="shared" si="36"/>
        <v>8.4956068963807641E-2</v>
      </c>
      <c r="R68" s="375">
        <f t="shared" si="36"/>
        <v>5.2468854902657791E-2</v>
      </c>
      <c r="S68" s="375">
        <f t="shared" si="36"/>
        <v>2.2049342562084073E-2</v>
      </c>
      <c r="T68" s="402">
        <f t="shared" si="36"/>
        <v>3.2826831971949855E-2</v>
      </c>
      <c r="U68" s="402">
        <f t="shared" si="36"/>
        <v>-3.2826684546918894E-2</v>
      </c>
      <c r="V68" s="354">
        <f t="shared" si="36"/>
        <v>1.7480088339477395E-2</v>
      </c>
      <c r="W68" s="354">
        <f t="shared" si="36"/>
        <v>4.8130163146703653E-2</v>
      </c>
      <c r="X68" s="354">
        <f t="shared" si="36"/>
        <v>5.8556612092386273E-2</v>
      </c>
      <c r="Y68" s="354">
        <f t="shared" si="36"/>
        <v>6.5007852103145636E-2</v>
      </c>
      <c r="Z68" s="354">
        <f t="shared" si="36"/>
        <v>1.1060740163831184E-2</v>
      </c>
      <c r="AA68" s="354">
        <f t="shared" si="36"/>
        <v>-4.7498994791775773E-2</v>
      </c>
      <c r="AB68" s="354">
        <f t="shared" si="36"/>
        <v>1.3358959205213627E-2</v>
      </c>
      <c r="AC68" s="354">
        <f t="shared" si="36"/>
        <v>7.0510187418353909E-3</v>
      </c>
      <c r="AD68" s="354">
        <f t="shared" ref="AD68:AN68" si="37">AD67-Z67</f>
        <v>4.8040084192219834E-2</v>
      </c>
      <c r="AE68" s="354">
        <f t="shared" si="37"/>
        <v>9.6535639310383892E-2</v>
      </c>
      <c r="AF68" s="327">
        <f t="shared" si="37"/>
        <v>-2.9845277494131073E-2</v>
      </c>
      <c r="AG68" s="327">
        <f t="shared" si="37"/>
        <v>-5.4137169489550774E-2</v>
      </c>
      <c r="AH68" s="327">
        <f t="shared" si="37"/>
        <v>-5.5273052235615017E-2</v>
      </c>
      <c r="AI68" s="327">
        <f t="shared" si="37"/>
        <v>-7.1628903451327552E-2</v>
      </c>
      <c r="AJ68" s="327">
        <f t="shared" si="37"/>
        <v>0.12599486152867584</v>
      </c>
      <c r="AK68" s="327">
        <f t="shared" si="37"/>
        <v>8.3415465775457054E-2</v>
      </c>
      <c r="AL68" s="327">
        <f t="shared" si="37"/>
        <v>0.16489107810411402</v>
      </c>
      <c r="AM68" s="327">
        <f t="shared" si="37"/>
        <v>0.13172061462958973</v>
      </c>
      <c r="AN68" s="327">
        <f t="shared" si="37"/>
        <v>-4.0051481821273494E-2</v>
      </c>
      <c r="AO68" s="327">
        <f t="shared" ref="AO68:AS68" si="38">AO67-AK67</f>
        <v>3.0515692428087715E-2</v>
      </c>
      <c r="AP68" s="327">
        <f t="shared" si="38"/>
        <v>-0.11296141549144706</v>
      </c>
      <c r="AQ68" s="327">
        <f t="shared" si="38"/>
        <v>-5.2807689122177814E-2</v>
      </c>
      <c r="AR68" s="327">
        <f t="shared" si="38"/>
        <v>-8.5267893931333383E-3</v>
      </c>
      <c r="AS68" s="327">
        <f t="shared" si="38"/>
        <v>-1.1784314627302117E-2</v>
      </c>
      <c r="AT68" s="327">
        <f t="shared" ref="AT68:BC68" si="39">AT67-AP67</f>
        <v>3.7450803741327865E-2</v>
      </c>
      <c r="AU68" s="327">
        <f t="shared" si="39"/>
        <v>-2.6805055609942618E-2</v>
      </c>
      <c r="AV68" s="327">
        <f t="shared" si="39"/>
        <v>-4.6698814705717018E-2</v>
      </c>
      <c r="AW68" s="327">
        <f t="shared" si="39"/>
        <v>-4.0859765341252019E-2</v>
      </c>
      <c r="AX68" s="327">
        <f t="shared" si="39"/>
        <v>-2.751912984335203E-2</v>
      </c>
      <c r="AY68" s="327">
        <f t="shared" si="39"/>
        <v>-5.9132335123820989E-3</v>
      </c>
      <c r="AZ68" s="327">
        <f t="shared" si="39"/>
        <v>1.7987306040835316E-3</v>
      </c>
      <c r="BA68" s="327">
        <f t="shared" si="39"/>
        <v>-4.8512432981821507E-3</v>
      </c>
      <c r="BB68" s="327">
        <f t="shared" si="39"/>
        <v>-1.9591545176843583E-3</v>
      </c>
      <c r="BC68" s="327">
        <f t="shared" si="39"/>
        <v>5.4488325571278584E-3</v>
      </c>
      <c r="BD68" s="4"/>
      <c r="BE68" s="2"/>
      <c r="BF68" s="3"/>
    </row>
    <row r="69" spans="1:58" s="193" customFormat="1">
      <c r="A69" s="2"/>
      <c r="B69" s="400"/>
      <c r="C69" s="400"/>
      <c r="D69" s="400"/>
      <c r="E69" s="400"/>
      <c r="F69" s="400"/>
      <c r="G69" s="400"/>
      <c r="H69" s="400"/>
      <c r="I69" s="400"/>
      <c r="J69" s="400"/>
      <c r="K69" s="400"/>
      <c r="L69" s="400"/>
      <c r="M69" s="400"/>
      <c r="N69" s="400"/>
      <c r="O69" s="400"/>
      <c r="P69" s="400"/>
      <c r="Q69" s="400"/>
      <c r="R69" s="400"/>
      <c r="S69" s="400"/>
      <c r="T69" s="401"/>
      <c r="U69" s="401"/>
      <c r="V69" s="401"/>
      <c r="W69" s="401"/>
      <c r="X69" s="401"/>
      <c r="Y69" s="401"/>
      <c r="Z69" s="401"/>
      <c r="AA69" s="401"/>
      <c r="AB69" s="401"/>
      <c r="AC69" s="401"/>
      <c r="AD69" s="401"/>
      <c r="AE69" s="401"/>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175"/>
      <c r="BE69" s="2"/>
      <c r="BF69" s="3"/>
    </row>
    <row r="70" spans="1:58" s="193" customFormat="1">
      <c r="A70" s="2" t="s">
        <v>756</v>
      </c>
      <c r="B70" s="375">
        <f>B10/B6</f>
        <v>0.32917415670931582</v>
      </c>
      <c r="C70" s="375">
        <f t="shared" ref="C70:Y70" si="40">C10/C6</f>
        <v>0.14147774979009237</v>
      </c>
      <c r="D70" s="375">
        <f t="shared" si="40"/>
        <v>0.2677475898334794</v>
      </c>
      <c r="E70" s="375">
        <f t="shared" si="40"/>
        <v>0.16329253580010752</v>
      </c>
      <c r="F70" s="375">
        <f t="shared" si="40"/>
        <v>0.22043826833387586</v>
      </c>
      <c r="G70" s="375">
        <f t="shared" si="40"/>
        <v>0.15653780409347709</v>
      </c>
      <c r="H70" s="375">
        <f t="shared" si="40"/>
        <v>0.23460301244474377</v>
      </c>
      <c r="I70" s="375">
        <f t="shared" si="40"/>
        <v>0.23384264542617811</v>
      </c>
      <c r="J70" s="375">
        <f t="shared" si="40"/>
        <v>6.9581036171054544E-2</v>
      </c>
      <c r="K70" s="375">
        <f t="shared" si="40"/>
        <v>8.3047876350454866E-2</v>
      </c>
      <c r="L70" s="375">
        <f t="shared" si="40"/>
        <v>8.3435608711179637E-2</v>
      </c>
      <c r="M70" s="375">
        <f t="shared" si="40"/>
        <v>0.18866588791881433</v>
      </c>
      <c r="N70" s="375">
        <f t="shared" si="40"/>
        <v>6.4358086753074611E-2</v>
      </c>
      <c r="O70" s="375">
        <f t="shared" si="40"/>
        <v>9.2168041289771921E-2</v>
      </c>
      <c r="P70" s="375">
        <f t="shared" si="40"/>
        <v>0.1502945835662923</v>
      </c>
      <c r="Q70" s="375">
        <f t="shared" si="40"/>
        <v>0.14808454728387191</v>
      </c>
      <c r="R70" s="400">
        <f t="shared" si="40"/>
        <v>0.17595488045463259</v>
      </c>
      <c r="S70" s="400">
        <f t="shared" si="40"/>
        <v>0.15389386506610708</v>
      </c>
      <c r="T70" s="401">
        <f t="shared" si="40"/>
        <v>0.2808880370854373</v>
      </c>
      <c r="U70" s="401">
        <f t="shared" si="40"/>
        <v>9.3729159051999203E-2</v>
      </c>
      <c r="V70" s="401">
        <f t="shared" si="40"/>
        <v>0.38691360594356533</v>
      </c>
      <c r="W70" s="401">
        <f t="shared" si="40"/>
        <v>0.30605666337362142</v>
      </c>
      <c r="X70" s="401">
        <f t="shared" si="40"/>
        <v>0.26453767530760652</v>
      </c>
      <c r="Y70" s="401">
        <f t="shared" si="40"/>
        <v>0.29794430024412488</v>
      </c>
      <c r="Z70" s="401">
        <f t="shared" ref="Z70:AA70" si="41">Z10/Z6</f>
        <v>0.30810789709692021</v>
      </c>
      <c r="AA70" s="401">
        <f t="shared" si="41"/>
        <v>0.25113868383854249</v>
      </c>
      <c r="AB70" s="401">
        <f t="shared" ref="AB70:AC70" si="42">AB10/AB6</f>
        <v>0.52152336748751282</v>
      </c>
      <c r="AC70" s="401">
        <f t="shared" si="42"/>
        <v>0.21357165692948293</v>
      </c>
      <c r="AD70" s="401">
        <f t="shared" ref="AD70:AE70" si="43">AD10/AD6</f>
        <v>0.33470535353412595</v>
      </c>
      <c r="AE70" s="401">
        <f t="shared" si="43"/>
        <v>0.33673846448288436</v>
      </c>
      <c r="AF70" s="356">
        <f t="shared" ref="AF70:AG70" si="44">AF10/AF6</f>
        <v>0.43393158493543876</v>
      </c>
      <c r="AG70" s="356">
        <f t="shared" si="44"/>
        <v>0.2585148198392388</v>
      </c>
      <c r="AH70" s="356">
        <f t="shared" ref="AH70:AI70" si="45">AH10/AH6</f>
        <v>0.20489270539386478</v>
      </c>
      <c r="AI70" s="356">
        <f t="shared" si="45"/>
        <v>0.18684931506849314</v>
      </c>
      <c r="AJ70" s="356">
        <f t="shared" ref="AJ70:AK70" si="46">AJ10/AJ6</f>
        <v>0.47968460533260454</v>
      </c>
      <c r="AK70" s="356">
        <f t="shared" si="46"/>
        <v>0.17001831769770065</v>
      </c>
      <c r="AL70" s="356">
        <f t="shared" ref="AL70:AM70" si="47">AL10/AL6</f>
        <v>0.20423279810075717</v>
      </c>
      <c r="AM70" s="356">
        <f t="shared" si="47"/>
        <v>0.52552609823534879</v>
      </c>
      <c r="AN70" s="356">
        <f t="shared" ref="AN70" si="48">AN10/AN6</f>
        <v>0.60204690823820117</v>
      </c>
      <c r="AO70" s="356">
        <f t="shared" ref="AO70:AP70" si="49">AO10/AO6</f>
        <v>0.5532772427602769</v>
      </c>
      <c r="AP70" s="356">
        <f t="shared" si="49"/>
        <v>0.59577601482309461</v>
      </c>
      <c r="AQ70" s="356">
        <f t="shared" ref="AQ70:AR70" si="50">AQ10/AQ6</f>
        <v>0.49109022028904165</v>
      </c>
      <c r="AR70" s="356">
        <f t="shared" si="50"/>
        <v>0.50974583404220364</v>
      </c>
      <c r="AS70" s="356">
        <f t="shared" ref="AS70:AT70" si="51">AS10/AS6</f>
        <v>0.56696600626587756</v>
      </c>
      <c r="AT70" s="356">
        <f t="shared" si="51"/>
        <v>0.7128152157679396</v>
      </c>
      <c r="AU70" s="356">
        <f t="shared" ref="AU70:AV70" si="52">AU10/AU6</f>
        <v>0.59465552122216869</v>
      </c>
      <c r="AV70" s="356">
        <f t="shared" si="52"/>
        <v>0.48013648124788977</v>
      </c>
      <c r="AW70" s="356">
        <f t="shared" ref="AW70:AY70" si="53">AW10/AW6</f>
        <v>0.39029975101556441</v>
      </c>
      <c r="AX70" s="356">
        <f t="shared" si="53"/>
        <v>0.42983900803995173</v>
      </c>
      <c r="AY70" s="356">
        <f t="shared" si="53"/>
        <v>0.62007081671674824</v>
      </c>
      <c r="AZ70" s="356">
        <f t="shared" ref="AZ70:BA70" si="54">AZ10/AZ6</f>
        <v>0.61461503940560802</v>
      </c>
      <c r="BA70" s="356">
        <f t="shared" si="54"/>
        <v>0.62006800383909766</v>
      </c>
      <c r="BB70" s="356">
        <f t="shared" ref="BB70:BC70" si="55">BB10/BB6</f>
        <v>0.51735816079762809</v>
      </c>
      <c r="BC70" s="356">
        <f t="shared" si="55"/>
        <v>0.66057268605907404</v>
      </c>
      <c r="BD70" s="175"/>
      <c r="BE70" s="2"/>
      <c r="BF70" s="3"/>
    </row>
    <row r="71" spans="1:58" s="193" customFormat="1">
      <c r="A71" s="2" t="s">
        <v>420</v>
      </c>
      <c r="B71" s="400"/>
      <c r="C71" s="400"/>
      <c r="D71" s="400"/>
      <c r="E71" s="375">
        <f t="shared" ref="E71:X71" si="56">E11/E6</f>
        <v>0.24907205984700068</v>
      </c>
      <c r="F71" s="375">
        <f t="shared" si="56"/>
        <v>0.18302331058754329</v>
      </c>
      <c r="G71" s="375">
        <f t="shared" si="56"/>
        <v>0.26732705883778757</v>
      </c>
      <c r="H71" s="375">
        <f t="shared" si="56"/>
        <v>0.20082067647713059</v>
      </c>
      <c r="I71" s="375">
        <f t="shared" si="56"/>
        <v>0.20173410564948191</v>
      </c>
      <c r="J71" s="375">
        <f t="shared" si="56"/>
        <v>0.32734413022288344</v>
      </c>
      <c r="K71" s="375">
        <f t="shared" si="56"/>
        <v>0.28765395942755834</v>
      </c>
      <c r="L71" s="375">
        <f t="shared" si="56"/>
        <v>0.2787847974872032</v>
      </c>
      <c r="M71" s="375">
        <f t="shared" si="56"/>
        <v>0.18393618374435011</v>
      </c>
      <c r="N71" s="375">
        <f t="shared" si="56"/>
        <v>0.30430390835664817</v>
      </c>
      <c r="O71" s="375">
        <f t="shared" si="56"/>
        <v>0.31156891284740179</v>
      </c>
      <c r="P71" s="375">
        <f t="shared" si="56"/>
        <v>0.24421853667555965</v>
      </c>
      <c r="Q71" s="375">
        <f t="shared" si="56"/>
        <v>0.30947359334310021</v>
      </c>
      <c r="R71" s="400">
        <f t="shared" si="56"/>
        <v>0.24517596955774795</v>
      </c>
      <c r="S71" s="400">
        <f t="shared" si="56"/>
        <v>0.27189243163315063</v>
      </c>
      <c r="T71" s="401">
        <f t="shared" si="56"/>
        <v>0.1464519151283645</v>
      </c>
      <c r="U71" s="401">
        <f t="shared" si="56"/>
        <v>0.331002297028054</v>
      </c>
      <c r="V71" s="401">
        <f t="shared" si="56"/>
        <v>5.1697332408292607E-2</v>
      </c>
      <c r="W71" s="401">
        <f t="shared" si="56"/>
        <v>0.16785979647234003</v>
      </c>
      <c r="X71" s="401">
        <f t="shared" si="56"/>
        <v>0.22135888899858155</v>
      </c>
      <c r="Y71" s="401">
        <f t="shared" ref="Y71:AD71" si="57">Y11/Y6</f>
        <v>0.19179500793907395</v>
      </c>
      <c r="Z71" s="401">
        <f t="shared" si="57"/>
        <v>0.14156378141876888</v>
      </c>
      <c r="AA71" s="401">
        <f t="shared" si="57"/>
        <v>0.17527878121564316</v>
      </c>
      <c r="AB71" s="401">
        <f t="shared" si="57"/>
        <v>-2.226784397611117E-2</v>
      </c>
      <c r="AC71" s="401">
        <f t="shared" si="57"/>
        <v>0.28321866999555129</v>
      </c>
      <c r="AD71" s="401">
        <f t="shared" si="57"/>
        <v>0.16300640917378298</v>
      </c>
      <c r="AE71" s="401">
        <f t="shared" ref="AE71:AF71" si="58">AE11/AE6</f>
        <v>0.18621463988168513</v>
      </c>
      <c r="AF71" s="356">
        <f t="shared" si="58"/>
        <v>3.5478661081831828E-2</v>
      </c>
      <c r="AG71" s="356">
        <f t="shared" ref="AG71:AH71" si="59">AG11/AG6</f>
        <v>0.18413833759624462</v>
      </c>
      <c r="AH71" s="356">
        <f t="shared" si="59"/>
        <v>0.23754600507842918</v>
      </c>
      <c r="AI71" s="356">
        <f t="shared" ref="AI71:AJ71" si="60">AI11/AI6</f>
        <v>0.26429223744292235</v>
      </c>
      <c r="AJ71" s="356">
        <f t="shared" si="60"/>
        <v>0.11572050221334189</v>
      </c>
      <c r="AK71" s="356">
        <f t="shared" ref="AK71:AL71" si="61">AK11/AK6</f>
        <v>0.35605030551323985</v>
      </c>
      <c r="AL71" s="356">
        <f t="shared" si="61"/>
        <v>0.40309699047565078</v>
      </c>
      <c r="AM71" s="356">
        <f t="shared" ref="AM71:AO71" si="62">AM11/AM6</f>
        <v>5.7518717307483008E-2</v>
      </c>
      <c r="AN71" s="356">
        <f t="shared" ref="AN71" si="63">AN11/AN6</f>
        <v>-4.6693282513528243E-2</v>
      </c>
      <c r="AO71" s="356">
        <f t="shared" si="62"/>
        <v>3.3070728787512938E-3</v>
      </c>
      <c r="AP71" s="356">
        <f t="shared" ref="AP71:AQ71" si="64">AP11/AP6</f>
        <v>-0.10140764173813376</v>
      </c>
      <c r="AQ71" s="356">
        <f t="shared" si="64"/>
        <v>3.9146906131612182E-2</v>
      </c>
      <c r="AR71" s="356">
        <f t="shared" ref="AR71:AS71" si="65">AR11/AR6</f>
        <v>3.7081002289335988E-2</v>
      </c>
      <c r="AS71" s="356">
        <f t="shared" si="65"/>
        <v>-2.2166005254151487E-2</v>
      </c>
      <c r="AT71" s="356">
        <f t="shared" ref="AT71:AU71" si="66">AT11/AT6</f>
        <v>-0.18099603894165087</v>
      </c>
      <c r="AU71" s="356">
        <f t="shared" si="66"/>
        <v>-9.1223450411457463E-2</v>
      </c>
      <c r="AV71" s="356">
        <f t="shared" ref="AV71:AW71" si="67">AV11/AV6</f>
        <v>1.9991540377932781E-2</v>
      </c>
      <c r="AW71" s="356">
        <f t="shared" si="67"/>
        <v>0.11364048465490968</v>
      </c>
      <c r="AX71" s="356">
        <f t="shared" ref="AX71:AY71" si="68">AX11/AX6</f>
        <v>7.446103894298492E-2</v>
      </c>
      <c r="AY71" s="356">
        <f t="shared" si="68"/>
        <v>-0.12255197941841904</v>
      </c>
      <c r="AZ71" s="356">
        <f t="shared" ref="AZ71:BA71" si="69">AZ11/AZ6</f>
        <v>-0.1126882871757019</v>
      </c>
      <c r="BA71" s="356">
        <f t="shared" si="69"/>
        <v>-0.12097901146680572</v>
      </c>
      <c r="BB71" s="356">
        <f t="shared" ref="BB71:BC71" si="70">BB11/BB6</f>
        <v>-1.5017268332375756E-2</v>
      </c>
      <c r="BC71" s="356">
        <f t="shared" si="70"/>
        <v>-0.15760501620361705</v>
      </c>
      <c r="BD71" s="175"/>
      <c r="BE71" s="2"/>
      <c r="BF71" s="3"/>
    </row>
    <row r="72" spans="1:58" s="193" customFormat="1">
      <c r="A72" s="2"/>
      <c r="B72" s="400"/>
      <c r="C72" s="400"/>
      <c r="D72" s="400"/>
      <c r="E72" s="400"/>
      <c r="F72" s="400"/>
      <c r="G72" s="400"/>
      <c r="H72" s="400"/>
      <c r="I72" s="400"/>
      <c r="J72" s="400"/>
      <c r="K72" s="400"/>
      <c r="L72" s="400"/>
      <c r="M72" s="400"/>
      <c r="N72" s="400"/>
      <c r="O72" s="400"/>
      <c r="P72" s="400"/>
      <c r="Q72" s="400"/>
      <c r="R72" s="400"/>
      <c r="S72" s="400"/>
      <c r="T72" s="401"/>
      <c r="U72" s="401"/>
      <c r="V72" s="401"/>
      <c r="W72" s="401"/>
      <c r="X72" s="401"/>
      <c r="Y72" s="401"/>
      <c r="Z72" s="401"/>
      <c r="AA72" s="401"/>
      <c r="AB72" s="401"/>
      <c r="AC72" s="401"/>
      <c r="AD72" s="401"/>
      <c r="AE72" s="401"/>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175"/>
      <c r="BE72" s="2"/>
      <c r="BF72" s="3"/>
    </row>
    <row r="73" spans="1:58" s="193" customFormat="1">
      <c r="A73" s="2" t="s">
        <v>421</v>
      </c>
      <c r="B73" s="400"/>
      <c r="C73" s="400"/>
      <c r="D73" s="400"/>
      <c r="E73" s="400"/>
      <c r="F73" s="400"/>
      <c r="G73" s="400"/>
      <c r="H73" s="400"/>
      <c r="I73" s="400">
        <f>I11/E11-1</f>
        <v>-0.14921730104368702</v>
      </c>
      <c r="J73" s="400">
        <f t="shared" ref="J73:AC73" si="71">J11/F11-1</f>
        <v>0.79648948162327327</v>
      </c>
      <c r="K73" s="400">
        <f t="shared" si="71"/>
        <v>0.10171930551765662</v>
      </c>
      <c r="L73" s="400">
        <f t="shared" si="71"/>
        <v>0.4323032754428664</v>
      </c>
      <c r="M73" s="400">
        <f t="shared" si="71"/>
        <v>-2.9328801618351941E-2</v>
      </c>
      <c r="N73" s="400">
        <f t="shared" si="71"/>
        <v>4.9355912342532449E-2</v>
      </c>
      <c r="O73" s="400">
        <f t="shared" si="71"/>
        <v>0.23893299664214185</v>
      </c>
      <c r="P73" s="400">
        <f t="shared" si="71"/>
        <v>-8.4621542341007938E-3</v>
      </c>
      <c r="Q73" s="400">
        <f t="shared" si="71"/>
        <v>0.85435203442757679</v>
      </c>
      <c r="R73" s="375">
        <f t="shared" si="71"/>
        <v>-0.54940314350104447</v>
      </c>
      <c r="S73" s="375">
        <f t="shared" si="71"/>
        <v>-0.51917294393086766</v>
      </c>
      <c r="T73" s="402">
        <f t="shared" si="71"/>
        <v>-0.65950739448443074</v>
      </c>
      <c r="U73" s="402">
        <f t="shared" si="71"/>
        <v>-0.37585502814178551</v>
      </c>
      <c r="V73" s="401">
        <f t="shared" si="71"/>
        <v>-0.76600215570013364</v>
      </c>
      <c r="W73" s="401">
        <f t="shared" si="71"/>
        <v>-0.29086319678297212</v>
      </c>
      <c r="X73" s="401">
        <f t="shared" si="71"/>
        <v>0.67415547476352833</v>
      </c>
      <c r="Y73" s="401">
        <f t="shared" si="71"/>
        <v>-0.40316700796203409</v>
      </c>
      <c r="Z73" s="401">
        <f t="shared" si="71"/>
        <v>1.7628080867083322</v>
      </c>
      <c r="AA73" s="401">
        <f t="shared" si="71"/>
        <v>-5.8720657776359042E-2</v>
      </c>
      <c r="AB73" s="401">
        <f t="shared" si="71"/>
        <v>-1.0881002124741972</v>
      </c>
      <c r="AC73" s="401">
        <f t="shared" si="71"/>
        <v>0.31486869719969945</v>
      </c>
      <c r="AD73" s="401">
        <f t="shared" ref="AD73:AN73" si="72">AD11/Z11-1</f>
        <v>-1.3189156121879542E-2</v>
      </c>
      <c r="AE73" s="401">
        <f t="shared" si="72"/>
        <v>-6.4375992446235819E-2</v>
      </c>
      <c r="AF73" s="356">
        <f t="shared" si="72"/>
        <v>-2.4249711272007568</v>
      </c>
      <c r="AG73" s="356">
        <f t="shared" si="72"/>
        <v>-0.40428543895722335</v>
      </c>
      <c r="AH73" s="356">
        <f t="shared" si="72"/>
        <v>0.44709619119819854</v>
      </c>
      <c r="AI73" s="356">
        <f t="shared" si="72"/>
        <v>0.3858077300398326</v>
      </c>
      <c r="AJ73" s="356">
        <f t="shared" si="72"/>
        <v>2.2874945410192375</v>
      </c>
      <c r="AK73" s="356">
        <f t="shared" si="72"/>
        <v>0.99979895750869385</v>
      </c>
      <c r="AL73" s="356">
        <f t="shared" si="72"/>
        <v>0.72099616263975941</v>
      </c>
      <c r="AM73" s="356">
        <f t="shared" si="72"/>
        <v>-0.76652956556549534</v>
      </c>
      <c r="AN73" s="356">
        <f t="shared" si="72"/>
        <v>-1.4127691233311208</v>
      </c>
      <c r="AO73" s="356">
        <f t="shared" ref="AO73:AS73" si="73">AO11/AK11-1</f>
        <v>-0.99025106443779554</v>
      </c>
      <c r="AP73" s="356">
        <f t="shared" si="73"/>
        <v>-1.2840510612530665</v>
      </c>
      <c r="AQ73" s="356">
        <f t="shared" si="73"/>
        <v>-0.17414504140072062</v>
      </c>
      <c r="AR73" s="356">
        <f t="shared" si="73"/>
        <v>-2.1153579518223884</v>
      </c>
      <c r="AS73" s="356">
        <f t="shared" si="73"/>
        <v>-10.773298128161818</v>
      </c>
      <c r="AT73" s="356">
        <f t="shared" ref="AT73:BC73" si="74">AT11/AP11-1</f>
        <v>1.5312650819216347</v>
      </c>
      <c r="AU73" s="356">
        <f t="shared" si="74"/>
        <v>-4.2364423604473931</v>
      </c>
      <c r="AV73" s="356">
        <f t="shared" si="74"/>
        <v>-0.30022574132562152</v>
      </c>
      <c r="AW73" s="356">
        <f t="shared" si="74"/>
        <v>-7.4163228488833868</v>
      </c>
      <c r="AX73" s="356">
        <f t="shared" si="74"/>
        <v>-1.5160292837276828</v>
      </c>
      <c r="AY73" s="356">
        <f t="shared" si="74"/>
        <v>0.6568102213396203</v>
      </c>
      <c r="AZ73" s="356">
        <f t="shared" si="74"/>
        <v>-7.9311055820430969</v>
      </c>
      <c r="BA73" s="356">
        <f t="shared" si="74"/>
        <v>-2.2770895491637639</v>
      </c>
      <c r="BB73" s="356">
        <f t="shared" si="74"/>
        <v>-1.2372410794686073</v>
      </c>
      <c r="BC73" s="356">
        <f t="shared" si="74"/>
        <v>0.50868487144209484</v>
      </c>
      <c r="BD73" s="175"/>
      <c r="BE73" s="2"/>
      <c r="BF73" s="3"/>
    </row>
    <row r="74" spans="1:58" s="193" customFormat="1">
      <c r="A74" s="2"/>
      <c r="B74" s="400"/>
      <c r="C74" s="400"/>
      <c r="D74" s="400"/>
      <c r="E74" s="400"/>
      <c r="F74" s="400"/>
      <c r="G74" s="400"/>
      <c r="H74" s="400"/>
      <c r="I74" s="400"/>
      <c r="J74" s="400"/>
      <c r="K74" s="400"/>
      <c r="L74" s="400"/>
      <c r="M74" s="400"/>
      <c r="N74" s="400"/>
      <c r="O74" s="400"/>
      <c r="P74" s="400"/>
      <c r="Q74" s="400"/>
      <c r="R74" s="400"/>
      <c r="S74" s="400"/>
      <c r="T74" s="401"/>
      <c r="U74" s="401"/>
      <c r="V74" s="401"/>
      <c r="W74" s="401"/>
      <c r="X74" s="401"/>
      <c r="Y74" s="401"/>
      <c r="Z74" s="401"/>
      <c r="AA74" s="401"/>
      <c r="AB74" s="401"/>
      <c r="AC74" s="401"/>
      <c r="AD74" s="401"/>
      <c r="AE74" s="401"/>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175"/>
      <c r="BE74" s="2"/>
      <c r="BF74" s="3"/>
    </row>
    <row r="75" spans="1:58" s="193" customFormat="1">
      <c r="A75" s="2"/>
      <c r="B75" s="400"/>
      <c r="C75" s="400"/>
      <c r="D75" s="400"/>
      <c r="E75" s="400"/>
      <c r="F75" s="400"/>
      <c r="G75" s="400"/>
      <c r="H75" s="400"/>
      <c r="I75" s="400"/>
      <c r="J75" s="400"/>
      <c r="K75" s="400"/>
      <c r="L75" s="400"/>
      <c r="M75" s="400"/>
      <c r="N75" s="400"/>
      <c r="O75" s="400"/>
      <c r="P75" s="400"/>
      <c r="Q75" s="400"/>
      <c r="R75" s="400"/>
      <c r="S75" s="400"/>
      <c r="T75" s="401"/>
      <c r="U75" s="401"/>
      <c r="V75" s="401"/>
      <c r="W75" s="401"/>
      <c r="X75" s="401"/>
      <c r="Y75" s="401"/>
      <c r="Z75" s="401"/>
      <c r="AA75" s="401"/>
      <c r="AB75" s="401"/>
      <c r="AC75" s="401"/>
      <c r="AD75" s="401"/>
      <c r="AE75" s="401"/>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175"/>
      <c r="BE75" s="2"/>
      <c r="BF75" s="3"/>
    </row>
    <row r="76" spans="1:58" s="27" customFormat="1">
      <c r="A76" s="510" t="s">
        <v>64</v>
      </c>
      <c r="B76" s="530" t="str">
        <f>B$1</f>
        <v>Q1 12</v>
      </c>
      <c r="C76" s="530" t="str">
        <f t="shared" ref="C76:Y76" si="75">C$1</f>
        <v>Q2 12</v>
      </c>
      <c r="D76" s="530" t="str">
        <f t="shared" si="75"/>
        <v>Q3 12</v>
      </c>
      <c r="E76" s="530" t="str">
        <f t="shared" si="75"/>
        <v>4Q12</v>
      </c>
      <c r="F76" s="530" t="str">
        <f t="shared" si="75"/>
        <v>1Q13</v>
      </c>
      <c r="G76" s="530" t="str">
        <f t="shared" si="75"/>
        <v>2Q13</v>
      </c>
      <c r="H76" s="530" t="str">
        <f t="shared" si="75"/>
        <v>3Q13</v>
      </c>
      <c r="I76" s="530" t="str">
        <f t="shared" si="75"/>
        <v>4Q13</v>
      </c>
      <c r="J76" s="530" t="str">
        <f t="shared" si="75"/>
        <v>1Q14</v>
      </c>
      <c r="K76" s="530" t="str">
        <f t="shared" si="75"/>
        <v>2Q14</v>
      </c>
      <c r="L76" s="530" t="str">
        <f t="shared" si="75"/>
        <v>3Q14</v>
      </c>
      <c r="M76" s="530" t="str">
        <f t="shared" si="75"/>
        <v>4Q14</v>
      </c>
      <c r="N76" s="530" t="str">
        <f t="shared" si="75"/>
        <v>1Q15</v>
      </c>
      <c r="O76" s="530" t="str">
        <f t="shared" si="75"/>
        <v>2Q15</v>
      </c>
      <c r="P76" s="530" t="str">
        <f t="shared" si="75"/>
        <v>3Q15</v>
      </c>
      <c r="Q76" s="530" t="str">
        <f t="shared" si="75"/>
        <v>4Q15</v>
      </c>
      <c r="R76" s="530" t="str">
        <f t="shared" si="75"/>
        <v>1Q16</v>
      </c>
      <c r="S76" s="530" t="str">
        <f t="shared" si="75"/>
        <v>2Q16</v>
      </c>
      <c r="T76" s="530" t="str">
        <f t="shared" si="75"/>
        <v>3Q16</v>
      </c>
      <c r="U76" s="530" t="str">
        <f t="shared" si="75"/>
        <v>4Q16</v>
      </c>
      <c r="V76" s="530" t="str">
        <f t="shared" si="75"/>
        <v>1Q17</v>
      </c>
      <c r="W76" s="530" t="str">
        <f t="shared" si="75"/>
        <v>2Q17</v>
      </c>
      <c r="X76" s="530" t="str">
        <f t="shared" si="75"/>
        <v>3Q17</v>
      </c>
      <c r="Y76" s="530" t="str">
        <f t="shared" si="75"/>
        <v>4Q17</v>
      </c>
      <c r="Z76" s="530" t="str">
        <f t="shared" ref="Z76:AE76" si="76">Z61</f>
        <v>1Q18</v>
      </c>
      <c r="AA76" s="530" t="str">
        <f t="shared" si="76"/>
        <v>2Q18</v>
      </c>
      <c r="AB76" s="530" t="str">
        <f t="shared" si="76"/>
        <v>3Q18</v>
      </c>
      <c r="AC76" s="530" t="str">
        <f t="shared" si="76"/>
        <v>4Q18</v>
      </c>
      <c r="AD76" s="530" t="str">
        <f t="shared" si="76"/>
        <v>1Q19</v>
      </c>
      <c r="AE76" s="530" t="str">
        <f t="shared" si="76"/>
        <v>2Q19</v>
      </c>
      <c r="AF76" s="530" t="str">
        <f t="shared" ref="AF76:AG76" si="77">AF61</f>
        <v>3Q19</v>
      </c>
      <c r="AG76" s="530" t="str">
        <f t="shared" si="77"/>
        <v>4Q19</v>
      </c>
      <c r="AH76" s="530" t="str">
        <f t="shared" ref="AH76:AI76" si="78">AH61</f>
        <v>1Q20</v>
      </c>
      <c r="AI76" s="530" t="str">
        <f t="shared" si="78"/>
        <v>2Q20</v>
      </c>
      <c r="AJ76" s="530" t="str">
        <f t="shared" ref="AJ76:AK76" si="79">AJ61</f>
        <v>3Q20</v>
      </c>
      <c r="AK76" s="530" t="str">
        <f t="shared" si="79"/>
        <v>4Q20</v>
      </c>
      <c r="AL76" s="530" t="str">
        <f t="shared" ref="AL76:AM76" si="80">AL61</f>
        <v>1Q21</v>
      </c>
      <c r="AM76" s="530" t="str">
        <f t="shared" si="80"/>
        <v>2Q21</v>
      </c>
      <c r="AN76" s="530" t="str">
        <f t="shared" ref="AN76" si="81">AN61</f>
        <v>3Q21</v>
      </c>
      <c r="AO76" s="530" t="str">
        <f t="shared" ref="AO76:AP76" si="82">AO61</f>
        <v>4Q21</v>
      </c>
      <c r="AP76" s="530" t="str">
        <f t="shared" si="82"/>
        <v>1Q22</v>
      </c>
      <c r="AQ76" s="530" t="str">
        <f t="shared" ref="AQ76:AR76" si="83">AQ61</f>
        <v>2Q22</v>
      </c>
      <c r="AR76" s="530" t="str">
        <f t="shared" si="83"/>
        <v>3Q22</v>
      </c>
      <c r="AS76" s="530" t="str">
        <f t="shared" ref="AS76:AT76" si="84">AS61</f>
        <v>4Q22</v>
      </c>
      <c r="AT76" s="530" t="str">
        <f t="shared" si="84"/>
        <v>1Q23</v>
      </c>
      <c r="AU76" s="530" t="str">
        <f t="shared" ref="AU76:AV76" si="85">AU61</f>
        <v>2Q23</v>
      </c>
      <c r="AV76" s="530" t="str">
        <f t="shared" si="85"/>
        <v>3Q23</v>
      </c>
      <c r="AW76" s="530" t="str">
        <f t="shared" ref="AW76:AY76" si="86">AW61</f>
        <v>4Q23</v>
      </c>
      <c r="AX76" s="530" t="str">
        <f t="shared" si="86"/>
        <v>1Q24</v>
      </c>
      <c r="AY76" s="530" t="str">
        <f t="shared" si="86"/>
        <v>2Q24</v>
      </c>
      <c r="AZ76" s="530" t="str">
        <f t="shared" ref="AZ76:BA76" si="87">AZ61</f>
        <v>3Q24</v>
      </c>
      <c r="BA76" s="530" t="str">
        <f t="shared" si="87"/>
        <v>4Q24</v>
      </c>
      <c r="BB76" s="530" t="str">
        <f t="shared" ref="BB76:BC76" si="88">BB61</f>
        <v>1Q25</v>
      </c>
      <c r="BC76" s="530" t="str">
        <f t="shared" si="88"/>
        <v>2Q25</v>
      </c>
      <c r="BD76" s="527"/>
      <c r="BE76" s="510"/>
      <c r="BF76" s="176"/>
    </row>
    <row r="77" spans="1:58" s="193" customFormat="1">
      <c r="A77" s="2"/>
      <c r="B77" s="400"/>
      <c r="C77" s="400"/>
      <c r="D77" s="400"/>
      <c r="E77" s="400"/>
      <c r="F77" s="400"/>
      <c r="G77" s="400"/>
      <c r="H77" s="400"/>
      <c r="I77" s="400"/>
      <c r="J77" s="400"/>
      <c r="K77" s="400"/>
      <c r="L77" s="400"/>
      <c r="M77" s="400"/>
      <c r="N77" s="400"/>
      <c r="O77" s="400"/>
      <c r="P77" s="400"/>
      <c r="Q77" s="400"/>
      <c r="R77" s="400"/>
      <c r="S77" s="400"/>
      <c r="T77" s="401"/>
      <c r="U77" s="401"/>
      <c r="V77" s="401"/>
      <c r="W77" s="401"/>
      <c r="X77" s="401"/>
      <c r="Y77" s="401"/>
      <c r="Z77" s="401"/>
      <c r="AA77" s="401"/>
      <c r="AB77" s="401"/>
      <c r="AC77" s="401"/>
      <c r="AD77" s="401"/>
      <c r="AE77" s="401"/>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175"/>
      <c r="BE77" s="2"/>
      <c r="BF77" s="3"/>
    </row>
    <row r="78" spans="1:58" s="193" customFormat="1">
      <c r="A78" s="2" t="s">
        <v>67</v>
      </c>
      <c r="B78" s="353"/>
      <c r="C78" s="353"/>
      <c r="D78" s="353"/>
      <c r="E78" s="353"/>
      <c r="F78" s="353">
        <f t="shared" ref="F78:AC78" si="89">F15/B15-1</f>
        <v>0.24671649931833661</v>
      </c>
      <c r="G78" s="353">
        <f t="shared" si="89"/>
        <v>0.25575112280701751</v>
      </c>
      <c r="H78" s="353">
        <f t="shared" si="89"/>
        <v>0.28657311872557867</v>
      </c>
      <c r="I78" s="353">
        <f t="shared" si="89"/>
        <v>0.23972052773085695</v>
      </c>
      <c r="J78" s="353">
        <f t="shared" si="89"/>
        <v>0.33945547131956366</v>
      </c>
      <c r="K78" s="353">
        <f t="shared" si="89"/>
        <v>0.28825247214679717</v>
      </c>
      <c r="L78" s="353">
        <f t="shared" si="89"/>
        <v>0.25789233727432626</v>
      </c>
      <c r="M78" s="353">
        <f t="shared" si="89"/>
        <v>0.22541150191964121</v>
      </c>
      <c r="N78" s="353">
        <f t="shared" si="89"/>
        <v>0.20723282393392783</v>
      </c>
      <c r="O78" s="353">
        <f t="shared" si="89"/>
        <v>0.23498314550566191</v>
      </c>
      <c r="P78" s="353">
        <f t="shared" si="89"/>
        <v>0.15774519577574475</v>
      </c>
      <c r="Q78" s="353">
        <f t="shared" si="89"/>
        <v>0.17215741403963114</v>
      </c>
      <c r="R78" s="353">
        <f t="shared" si="89"/>
        <v>0.15767736212620731</v>
      </c>
      <c r="S78" s="353">
        <f t="shared" si="89"/>
        <v>0.1285439501171648</v>
      </c>
      <c r="T78" s="354">
        <f t="shared" si="89"/>
        <v>0.19058251115385549</v>
      </c>
      <c r="U78" s="354">
        <f t="shared" si="89"/>
        <v>0.23512589501043735</v>
      </c>
      <c r="V78" s="354">
        <f t="shared" si="89"/>
        <v>0.2221747696357117</v>
      </c>
      <c r="W78" s="354">
        <f t="shared" si="89"/>
        <v>0.20894401044979394</v>
      </c>
      <c r="X78" s="354">
        <f t="shared" si="89"/>
        <v>0.17691421538169361</v>
      </c>
      <c r="Y78" s="354">
        <f t="shared" si="89"/>
        <v>0.10424915492921039</v>
      </c>
      <c r="Z78" s="354">
        <f t="shared" si="89"/>
        <v>7.2265127071816204E-2</v>
      </c>
      <c r="AA78" s="354">
        <f t="shared" si="89"/>
        <v>9.6390941316029322E-2</v>
      </c>
      <c r="AB78" s="354">
        <f t="shared" si="89"/>
        <v>0.10392603694389302</v>
      </c>
      <c r="AC78" s="354">
        <f t="shared" si="89"/>
        <v>0.10713454594279281</v>
      </c>
      <c r="AD78" s="354">
        <f t="shared" ref="AD78:AN78" si="90">AD15/Z15-1</f>
        <v>0.10593116242181133</v>
      </c>
      <c r="AE78" s="354">
        <f t="shared" si="90"/>
        <v>9.3168078450208025E-2</v>
      </c>
      <c r="AF78" s="327">
        <f t="shared" si="90"/>
        <v>7.1251237594872618E-2</v>
      </c>
      <c r="AG78" s="327">
        <f t="shared" si="90"/>
        <v>9.6066526078960157E-2</v>
      </c>
      <c r="AH78" s="327">
        <f t="shared" si="90"/>
        <v>-0.25541972122140844</v>
      </c>
      <c r="AI78" s="327">
        <f t="shared" si="90"/>
        <v>-0.22934158938702465</v>
      </c>
      <c r="AJ78" s="327">
        <f t="shared" si="90"/>
        <v>-0.23310357215352573</v>
      </c>
      <c r="AK78" s="327">
        <f t="shared" si="90"/>
        <v>-0.42556823538808763</v>
      </c>
      <c r="AL78" s="327">
        <f t="shared" si="90"/>
        <v>7.9650143881180302E-3</v>
      </c>
      <c r="AM78" s="327">
        <f t="shared" si="90"/>
        <v>-4.3656859115672186E-2</v>
      </c>
      <c r="AN78" s="327">
        <f t="shared" si="90"/>
        <v>-3.7397593261042639E-3</v>
      </c>
      <c r="AO78" s="327">
        <f t="shared" ref="AO78:AS78" si="91">AO15/AK15-1</f>
        <v>0.27149306731800471</v>
      </c>
      <c r="AP78" s="327">
        <f t="shared" si="91"/>
        <v>8.6764831716396484E-2</v>
      </c>
      <c r="AQ78" s="327">
        <f t="shared" si="91"/>
        <v>5.7042903511858256E-2</v>
      </c>
      <c r="AR78" s="327">
        <f t="shared" si="91"/>
        <v>2.5865142983505507E-3</v>
      </c>
      <c r="AS78" s="327">
        <f t="shared" si="91"/>
        <v>-1.5823934224340919E-2</v>
      </c>
      <c r="AT78" s="327">
        <f t="shared" ref="AT78:BC78" si="92">AT15/AP15-1</f>
        <v>-7.5698110489480164E-2</v>
      </c>
      <c r="AU78" s="327">
        <f t="shared" si="92"/>
        <v>-8.6596381250783283E-2</v>
      </c>
      <c r="AV78" s="327">
        <f t="shared" si="92"/>
        <v>-6.600037752273169E-2</v>
      </c>
      <c r="AW78" s="327">
        <f t="shared" si="92"/>
        <v>-3.4604704438299438E-2</v>
      </c>
      <c r="AX78" s="327">
        <f t="shared" si="92"/>
        <v>-1.0497371599941241E-2</v>
      </c>
      <c r="AY78" s="327">
        <f t="shared" si="92"/>
        <v>3.1079500347393152E-2</v>
      </c>
      <c r="AZ78" s="327">
        <f t="shared" si="92"/>
        <v>6.0477607700189173E-2</v>
      </c>
      <c r="BA78" s="327">
        <f t="shared" si="92"/>
        <v>5.5272805953078041E-2</v>
      </c>
      <c r="BB78" s="327">
        <f t="shared" si="92"/>
        <v>4.9676049243782217E-2</v>
      </c>
      <c r="BC78" s="327">
        <f t="shared" si="92"/>
        <v>9.507367925854382E-3</v>
      </c>
      <c r="BD78" s="4"/>
      <c r="BE78" s="2" t="s">
        <v>843</v>
      </c>
      <c r="BF78" s="3"/>
    </row>
    <row r="79" spans="1:58" s="193" customFormat="1">
      <c r="A79" s="2"/>
      <c r="B79" s="353"/>
      <c r="C79" s="353"/>
      <c r="D79" s="353"/>
      <c r="E79" s="353"/>
      <c r="F79" s="353"/>
      <c r="G79" s="353"/>
      <c r="H79" s="353"/>
      <c r="I79" s="353"/>
      <c r="J79" s="353"/>
      <c r="K79" s="353"/>
      <c r="L79" s="353"/>
      <c r="M79" s="353"/>
      <c r="N79" s="353"/>
      <c r="O79" s="353"/>
      <c r="P79" s="353"/>
      <c r="Q79" s="353"/>
      <c r="R79" s="353"/>
      <c r="S79" s="353"/>
      <c r="T79" s="354"/>
      <c r="U79" s="354"/>
      <c r="V79" s="354"/>
      <c r="W79" s="354"/>
      <c r="X79" s="354"/>
      <c r="Y79" s="354"/>
      <c r="Z79" s="354"/>
      <c r="AA79" s="354"/>
      <c r="AB79" s="354"/>
      <c r="AC79" s="354"/>
      <c r="AD79" s="354"/>
      <c r="AE79" s="354"/>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4"/>
      <c r="BE79" s="2"/>
      <c r="BF79" s="3"/>
    </row>
    <row r="80" spans="1:58" s="193" customFormat="1">
      <c r="A80" s="2" t="s">
        <v>70</v>
      </c>
      <c r="B80" s="353"/>
      <c r="C80" s="353"/>
      <c r="D80" s="353"/>
      <c r="E80" s="353"/>
      <c r="F80" s="353">
        <f t="shared" ref="F80:AC80" si="93">F16/B16-1</f>
        <v>-1.4661563400000082</v>
      </c>
      <c r="G80" s="353">
        <f t="shared" si="93"/>
        <v>-0.71715253448275851</v>
      </c>
      <c r="H80" s="353">
        <f t="shared" si="93"/>
        <v>0.63208895555554689</v>
      </c>
      <c r="I80" s="353">
        <f t="shared" si="93"/>
        <v>0.41747380103560516</v>
      </c>
      <c r="J80" s="353">
        <f t="shared" si="93"/>
        <v>-33.620868955680699</v>
      </c>
      <c r="K80" s="353">
        <f t="shared" si="93"/>
        <v>18.654523947445067</v>
      </c>
      <c r="L80" s="353">
        <f t="shared" si="93"/>
        <v>5.6032591319947871</v>
      </c>
      <c r="M80" s="353">
        <f t="shared" si="93"/>
        <v>2.2550126911407942</v>
      </c>
      <c r="N80" s="353">
        <f t="shared" si="93"/>
        <v>0.88963129511083316</v>
      </c>
      <c r="O80" s="353">
        <f t="shared" si="93"/>
        <v>1.3705603401514685</v>
      </c>
      <c r="P80" s="353">
        <f t="shared" si="93"/>
        <v>0.7596606438883422</v>
      </c>
      <c r="Q80" s="353">
        <f t="shared" si="93"/>
        <v>1.1579661596353805</v>
      </c>
      <c r="R80" s="353">
        <f t="shared" si="93"/>
        <v>0.6760374780420082</v>
      </c>
      <c r="S80" s="353">
        <f t="shared" si="93"/>
        <v>0.53277145685370675</v>
      </c>
      <c r="T80" s="354">
        <f t="shared" si="93"/>
        <v>0.44964891737790103</v>
      </c>
      <c r="U80" s="354">
        <f t="shared" si="93"/>
        <v>0.32333869285717021</v>
      </c>
      <c r="V80" s="354">
        <f t="shared" si="93"/>
        <v>0.25029073003603597</v>
      </c>
      <c r="W80" s="354">
        <f t="shared" si="93"/>
        <v>0.29292952332733613</v>
      </c>
      <c r="X80" s="354">
        <f t="shared" si="93"/>
        <v>0.22294778592264453</v>
      </c>
      <c r="Y80" s="354">
        <f t="shared" si="93"/>
        <v>0.14630852081238976</v>
      </c>
      <c r="Z80" s="354">
        <f t="shared" si="93"/>
        <v>9.6029153380427834E-2</v>
      </c>
      <c r="AA80" s="354">
        <f t="shared" si="93"/>
        <v>0.16090394531360697</v>
      </c>
      <c r="AB80" s="354">
        <f t="shared" si="93"/>
        <v>0.22558967362742188</v>
      </c>
      <c r="AC80" s="354">
        <f t="shared" si="93"/>
        <v>0.17396580050229904</v>
      </c>
      <c r="AD80" s="354">
        <f t="shared" ref="AD80:AN80" si="94">AD16/Z16-1</f>
        <v>0.21532997354325989</v>
      </c>
      <c r="AE80" s="354">
        <f t="shared" si="94"/>
        <v>0.12596231646289402</v>
      </c>
      <c r="AF80" s="327">
        <f t="shared" si="94"/>
        <v>3.1660568331632E-2</v>
      </c>
      <c r="AG80" s="327">
        <f t="shared" si="94"/>
        <v>6.0659335353781874E-2</v>
      </c>
      <c r="AH80" s="327">
        <f t="shared" si="94"/>
        <v>0.31237039781334008</v>
      </c>
      <c r="AI80" s="327">
        <f t="shared" si="94"/>
        <v>0.41590570596481924</v>
      </c>
      <c r="AJ80" s="327">
        <f t="shared" si="94"/>
        <v>0.4220887810832834</v>
      </c>
      <c r="AK80" s="327">
        <f t="shared" si="94"/>
        <v>-7.0740344229334395E-2</v>
      </c>
      <c r="AL80" s="327">
        <f t="shared" si="94"/>
        <v>-4.2171114616053162E-2</v>
      </c>
      <c r="AM80" s="327">
        <f t="shared" si="94"/>
        <v>-4.5670804886748795E-2</v>
      </c>
      <c r="AN80" s="327">
        <f t="shared" si="94"/>
        <v>-2.7424366990836946E-2</v>
      </c>
      <c r="AO80" s="327">
        <f t="shared" ref="AO80:AS80" si="95">AO16/AK16-1</f>
        <v>0.3993524525661285</v>
      </c>
      <c r="AP80" s="327">
        <f t="shared" si="95"/>
        <v>7.5304609945202827E-2</v>
      </c>
      <c r="AQ80" s="327">
        <f t="shared" si="95"/>
        <v>-6.9004527817609906E-3</v>
      </c>
      <c r="AR80" s="327">
        <f t="shared" si="95"/>
        <v>5.1761121576257008E-3</v>
      </c>
      <c r="AS80" s="327">
        <f t="shared" si="95"/>
        <v>-2.9980039168560513E-2</v>
      </c>
      <c r="AT80" s="327">
        <f t="shared" ref="AT80:BC80" si="96">AT16/AP16-1</f>
        <v>-0.11834279703916339</v>
      </c>
      <c r="AU80" s="327">
        <f t="shared" si="96"/>
        <v>-0.18111788332706025</v>
      </c>
      <c r="AV80" s="327">
        <f t="shared" si="96"/>
        <v>-0.22311645465974139</v>
      </c>
      <c r="AW80" s="327">
        <f t="shared" si="96"/>
        <v>-0.17581758780110057</v>
      </c>
      <c r="AX80" s="327">
        <f t="shared" si="96"/>
        <v>-0.10785276227574625</v>
      </c>
      <c r="AY80" s="327">
        <f t="shared" si="96"/>
        <v>-3.2033216479304572E-2</v>
      </c>
      <c r="AZ80" s="327">
        <f t="shared" si="96"/>
        <v>3.7005527073481925E-2</v>
      </c>
      <c r="BA80" s="327">
        <f t="shared" si="96"/>
        <v>7.5900251382233552E-2</v>
      </c>
      <c r="BB80" s="327">
        <f t="shared" si="96"/>
        <v>3.2411015139008681E-2</v>
      </c>
      <c r="BC80" s="327">
        <f t="shared" si="96"/>
        <v>7.3250648874332303E-3</v>
      </c>
      <c r="BD80" s="4"/>
      <c r="BE80" s="2"/>
      <c r="BF80" s="3"/>
    </row>
    <row r="81" spans="1:58" s="193" customFormat="1">
      <c r="A81" s="2" t="s">
        <v>73</v>
      </c>
      <c r="B81" s="353">
        <f t="shared" ref="B81:Y81" si="97">B16/B15</f>
        <v>1.7041581458759374E-2</v>
      </c>
      <c r="C81" s="353">
        <f t="shared" si="97"/>
        <v>3.7001594896331737E-2</v>
      </c>
      <c r="D81" s="353">
        <f t="shared" si="97"/>
        <v>2.7051397655545536E-2</v>
      </c>
      <c r="E81" s="353">
        <f t="shared" si="97"/>
        <v>5.856049297097294E-2</v>
      </c>
      <c r="F81" s="353">
        <f t="shared" si="97"/>
        <v>-6.3719708891081554E-3</v>
      </c>
      <c r="G81" s="353">
        <f t="shared" si="97"/>
        <v>8.3343006002085836E-3</v>
      </c>
      <c r="H81" s="353">
        <f t="shared" si="97"/>
        <v>3.431618980947649E-2</v>
      </c>
      <c r="I81" s="353">
        <f t="shared" si="97"/>
        <v>6.6956997730786033E-2</v>
      </c>
      <c r="J81" s="353">
        <f t="shared" si="97"/>
        <v>0.15518188682915823</v>
      </c>
      <c r="K81" s="353">
        <f t="shared" si="97"/>
        <v>0.12715419863237765</v>
      </c>
      <c r="L81" s="353">
        <f t="shared" si="97"/>
        <v>0.18014156459979652</v>
      </c>
      <c r="M81" s="353">
        <f t="shared" si="97"/>
        <v>0.17785525681207953</v>
      </c>
      <c r="N81" s="353">
        <f t="shared" si="97"/>
        <v>0.24289974889116661</v>
      </c>
      <c r="O81" s="353">
        <f t="shared" si="97"/>
        <v>0.24407353368230617</v>
      </c>
      <c r="P81" s="353">
        <f t="shared" si="97"/>
        <v>0.2737977429846592</v>
      </c>
      <c r="Q81" s="353">
        <f t="shared" si="97"/>
        <v>0.32743522407200415</v>
      </c>
      <c r="R81" s="353">
        <f t="shared" si="97"/>
        <v>0.35166022578249734</v>
      </c>
      <c r="S81" s="353">
        <f t="shared" si="97"/>
        <v>0.33149701060629572</v>
      </c>
      <c r="T81" s="354">
        <f t="shared" si="97"/>
        <v>0.333375131903758</v>
      </c>
      <c r="U81" s="354">
        <f t="shared" si="97"/>
        <v>0.35082067598880595</v>
      </c>
      <c r="V81" s="354">
        <f t="shared" si="97"/>
        <v>0.35975012031158893</v>
      </c>
      <c r="W81" s="354">
        <f t="shared" si="97"/>
        <v>0.35452615522547742</v>
      </c>
      <c r="X81" s="354">
        <f t="shared" si="97"/>
        <v>0.34641469540848924</v>
      </c>
      <c r="Y81" s="354">
        <f t="shared" si="97"/>
        <v>0.36418296393345323</v>
      </c>
      <c r="Z81" s="354">
        <f t="shared" ref="Z81:AA81" si="98">Z16/Z15</f>
        <v>0.3677230657219811</v>
      </c>
      <c r="AA81" s="354">
        <f t="shared" si="98"/>
        <v>0.37538691429181342</v>
      </c>
      <c r="AB81" s="354">
        <f t="shared" ref="AB81:AC81" si="99">AB16/AB15</f>
        <v>0.38459304271941136</v>
      </c>
      <c r="AC81" s="354">
        <f t="shared" si="99"/>
        <v>0.38616656516608044</v>
      </c>
      <c r="AD81" s="354">
        <f t="shared" ref="AD81:AE81" si="100">AD16/AD15</f>
        <v>0.40409826481106836</v>
      </c>
      <c r="AE81" s="354">
        <f t="shared" si="100"/>
        <v>0.38664824551508353</v>
      </c>
      <c r="AF81" s="327">
        <f t="shared" ref="AF81:AG81" si="101">AF16/AF15</f>
        <v>0.37037948065209186</v>
      </c>
      <c r="AG81" s="327">
        <f t="shared" si="101"/>
        <v>0.37369189059186819</v>
      </c>
      <c r="AH81" s="327">
        <f t="shared" ref="AH81:AO81" si="102">AH16/AH15</f>
        <v>0.71224905582475162</v>
      </c>
      <c r="AI81" s="327">
        <f t="shared" si="102"/>
        <v>0.7103762827822121</v>
      </c>
      <c r="AJ81" s="327">
        <f t="shared" si="102"/>
        <v>0.68681048059886907</v>
      </c>
      <c r="AK81" s="327">
        <f t="shared" si="102"/>
        <v>0.60452227576637629</v>
      </c>
      <c r="AL81" s="327">
        <f t="shared" si="102"/>
        <v>0.67682182369248756</v>
      </c>
      <c r="AM81" s="327">
        <f t="shared" si="102"/>
        <v>0.7088803141811727</v>
      </c>
      <c r="AN81" s="327">
        <f t="shared" ref="AN81" si="103">AN16/AN15</f>
        <v>0.67048258141260086</v>
      </c>
      <c r="AO81" s="327">
        <f t="shared" si="102"/>
        <v>0.6653121050898847</v>
      </c>
      <c r="AP81" s="327">
        <f t="shared" ref="AP81:AQ81" si="104">AP16/AP15</f>
        <v>0.6696845590582895</v>
      </c>
      <c r="AQ81" s="327">
        <f t="shared" si="104"/>
        <v>0.66599824539415964</v>
      </c>
      <c r="AR81" s="327">
        <f t="shared" ref="AR81:AS81" si="105">AR16/AR15</f>
        <v>0.67221438234224173</v>
      </c>
      <c r="AS81" s="327">
        <f t="shared" si="105"/>
        <v>0.65574244747695609</v>
      </c>
      <c r="AT81" s="327">
        <f t="shared" ref="AT81:AU81" si="106">AT16/AT15</f>
        <v>0.6387871991888564</v>
      </c>
      <c r="AU81" s="327">
        <f t="shared" si="106"/>
        <v>0.59707892731545098</v>
      </c>
      <c r="AV81" s="327">
        <f t="shared" ref="AV81:AW81" si="107">AV16/AV15</f>
        <v>0.55913544290052752</v>
      </c>
      <c r="AW81" s="327">
        <f t="shared" si="107"/>
        <v>0.55982393391332452</v>
      </c>
      <c r="AX81" s="327">
        <f t="shared" ref="AX81:AY81" si="108">AX16/AX15</f>
        <v>0.57593807120191076</v>
      </c>
      <c r="AY81" s="327">
        <f t="shared" si="108"/>
        <v>0.56053152893331637</v>
      </c>
      <c r="AZ81" s="327">
        <f t="shared" ref="AZ81:BA81" si="109">AZ16/AZ15</f>
        <v>0.54675981884046609</v>
      </c>
      <c r="BA81" s="327">
        <f t="shared" si="109"/>
        <v>0.57076682714585014</v>
      </c>
      <c r="BB81" s="327">
        <f t="shared" ref="BB81:BC81" si="110">BB16/BB15</f>
        <v>0.56646506241153005</v>
      </c>
      <c r="BC81" s="327">
        <f t="shared" si="110"/>
        <v>0.55931979963089906</v>
      </c>
      <c r="BD81" s="4"/>
      <c r="BE81" s="2"/>
      <c r="BF81" s="3"/>
    </row>
    <row r="82" spans="1:58" s="193" customFormat="1">
      <c r="A82" s="2" t="s">
        <v>76</v>
      </c>
      <c r="B82" s="353"/>
      <c r="C82" s="353"/>
      <c r="D82" s="353"/>
      <c r="E82" s="353"/>
      <c r="F82" s="353">
        <f t="shared" ref="F82:AC82" si="111">F81-B81</f>
        <v>-2.3413552347867531E-2</v>
      </c>
      <c r="G82" s="353">
        <f t="shared" si="111"/>
        <v>-2.8667294296123153E-2</v>
      </c>
      <c r="H82" s="353">
        <f t="shared" si="111"/>
        <v>7.2647921539309539E-3</v>
      </c>
      <c r="I82" s="353">
        <f t="shared" si="111"/>
        <v>8.3965047598130935E-3</v>
      </c>
      <c r="J82" s="353">
        <f t="shared" si="111"/>
        <v>0.16155385771826639</v>
      </c>
      <c r="K82" s="353">
        <f t="shared" si="111"/>
        <v>0.11881989803216907</v>
      </c>
      <c r="L82" s="353">
        <f t="shared" si="111"/>
        <v>0.14582537479032004</v>
      </c>
      <c r="M82" s="353">
        <f t="shared" si="111"/>
        <v>0.1108982590812935</v>
      </c>
      <c r="N82" s="353">
        <f t="shared" si="111"/>
        <v>8.7717862062008378E-2</v>
      </c>
      <c r="O82" s="353">
        <f t="shared" si="111"/>
        <v>0.11691933504992852</v>
      </c>
      <c r="P82" s="353">
        <f t="shared" si="111"/>
        <v>9.3656178384862676E-2</v>
      </c>
      <c r="Q82" s="353">
        <f t="shared" si="111"/>
        <v>0.14957996725992462</v>
      </c>
      <c r="R82" s="353">
        <f t="shared" si="111"/>
        <v>0.10876047689133073</v>
      </c>
      <c r="S82" s="353">
        <f t="shared" si="111"/>
        <v>8.7423476923989552E-2</v>
      </c>
      <c r="T82" s="354">
        <f t="shared" si="111"/>
        <v>5.9577388919098806E-2</v>
      </c>
      <c r="U82" s="354">
        <f t="shared" si="111"/>
        <v>2.3385451916801803E-2</v>
      </c>
      <c r="V82" s="354">
        <f t="shared" si="111"/>
        <v>8.0898945290915902E-3</v>
      </c>
      <c r="W82" s="354">
        <f t="shared" si="111"/>
        <v>2.3029144619181707E-2</v>
      </c>
      <c r="X82" s="354">
        <f t="shared" si="111"/>
        <v>1.3039563504731233E-2</v>
      </c>
      <c r="Y82" s="354">
        <f t="shared" si="111"/>
        <v>1.3362287944647278E-2</v>
      </c>
      <c r="Z82" s="354">
        <f t="shared" si="111"/>
        <v>7.9729454103921737E-3</v>
      </c>
      <c r="AA82" s="354">
        <f t="shared" si="111"/>
        <v>2.0860759066335999E-2</v>
      </c>
      <c r="AB82" s="354">
        <f t="shared" si="111"/>
        <v>3.8178347310922123E-2</v>
      </c>
      <c r="AC82" s="354">
        <f t="shared" si="111"/>
        <v>2.1983601232627215E-2</v>
      </c>
      <c r="AD82" s="354">
        <f t="shared" ref="AD82:AN82" si="112">AD81-Z81</f>
        <v>3.6375199089087262E-2</v>
      </c>
      <c r="AE82" s="354">
        <f t="shared" si="112"/>
        <v>1.126133122327011E-2</v>
      </c>
      <c r="AF82" s="327">
        <f t="shared" si="112"/>
        <v>-1.4213562067319496E-2</v>
      </c>
      <c r="AG82" s="327">
        <f t="shared" si="112"/>
        <v>-1.2474674574212252E-2</v>
      </c>
      <c r="AH82" s="327">
        <f t="shared" si="112"/>
        <v>0.30815079101368326</v>
      </c>
      <c r="AI82" s="327">
        <f t="shared" si="112"/>
        <v>0.32372803726712857</v>
      </c>
      <c r="AJ82" s="327">
        <f t="shared" si="112"/>
        <v>0.3164309999467772</v>
      </c>
      <c r="AK82" s="327">
        <f t="shared" si="112"/>
        <v>0.2308303851745081</v>
      </c>
      <c r="AL82" s="327">
        <f t="shared" si="112"/>
        <v>-3.5427232132264064E-2</v>
      </c>
      <c r="AM82" s="327">
        <f t="shared" si="112"/>
        <v>-1.4959686010393991E-3</v>
      </c>
      <c r="AN82" s="327">
        <f t="shared" si="112"/>
        <v>-1.6327899186268202E-2</v>
      </c>
      <c r="AO82" s="327">
        <f t="shared" ref="AO82:AS82" si="113">AO81-AK81</f>
        <v>6.0789829323508404E-2</v>
      </c>
      <c r="AP82" s="327">
        <f t="shared" si="113"/>
        <v>-7.1372646341980595E-3</v>
      </c>
      <c r="AQ82" s="327">
        <f t="shared" si="113"/>
        <v>-4.2882068787013061E-2</v>
      </c>
      <c r="AR82" s="327">
        <f t="shared" si="113"/>
        <v>1.7318009296408698E-3</v>
      </c>
      <c r="AS82" s="327">
        <f t="shared" si="113"/>
        <v>-9.5696576129286059E-3</v>
      </c>
      <c r="AT82" s="327">
        <f t="shared" ref="AT82:BC82" si="114">AT81-AP81</f>
        <v>-3.0897359869433094E-2</v>
      </c>
      <c r="AU82" s="327">
        <f t="shared" si="114"/>
        <v>-6.8919318078708658E-2</v>
      </c>
      <c r="AV82" s="327">
        <f t="shared" si="114"/>
        <v>-0.11307893944171421</v>
      </c>
      <c r="AW82" s="327">
        <f t="shared" si="114"/>
        <v>-9.5918513563631569E-2</v>
      </c>
      <c r="AX82" s="327">
        <f t="shared" si="114"/>
        <v>-6.2849127986945641E-2</v>
      </c>
      <c r="AY82" s="327">
        <f t="shared" si="114"/>
        <v>-3.654739838213461E-2</v>
      </c>
      <c r="AZ82" s="327">
        <f t="shared" si="114"/>
        <v>-1.237562406006143E-2</v>
      </c>
      <c r="BA82" s="327">
        <f t="shared" si="114"/>
        <v>1.0942893232525619E-2</v>
      </c>
      <c r="BB82" s="327">
        <f t="shared" si="114"/>
        <v>-9.4730087903807103E-3</v>
      </c>
      <c r="BC82" s="327">
        <f t="shared" si="114"/>
        <v>-1.2117293024173081E-3</v>
      </c>
      <c r="BD82" s="4"/>
      <c r="BE82" s="2"/>
      <c r="BF82" s="3"/>
    </row>
    <row r="83" spans="1:58" s="193" customFormat="1">
      <c r="A83" s="2"/>
      <c r="B83" s="400"/>
      <c r="C83" s="400"/>
      <c r="D83" s="400"/>
      <c r="E83" s="400"/>
      <c r="F83" s="400"/>
      <c r="G83" s="400"/>
      <c r="H83" s="400"/>
      <c r="I83" s="400"/>
      <c r="J83" s="400"/>
      <c r="K83" s="400"/>
      <c r="L83" s="400"/>
      <c r="M83" s="400"/>
      <c r="N83" s="400"/>
      <c r="O83" s="400"/>
      <c r="P83" s="400"/>
      <c r="Q83" s="400"/>
      <c r="R83" s="400"/>
      <c r="S83" s="400"/>
      <c r="T83" s="401"/>
      <c r="U83" s="401"/>
      <c r="V83" s="401"/>
      <c r="W83" s="401"/>
      <c r="X83" s="401"/>
      <c r="Y83" s="401"/>
      <c r="Z83" s="401"/>
      <c r="AA83" s="401"/>
      <c r="AB83" s="401"/>
      <c r="AC83" s="401"/>
      <c r="AD83" s="401"/>
      <c r="AE83" s="401"/>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175"/>
      <c r="BE83" s="2"/>
      <c r="BF83" s="3"/>
    </row>
    <row r="84" spans="1:58" s="193" customFormat="1">
      <c r="A84" s="2" t="s">
        <v>757</v>
      </c>
      <c r="B84" s="400">
        <f>B19/B15</f>
        <v>1.0272665303340149</v>
      </c>
      <c r="C84" s="400">
        <f t="shared" ref="C84:I84" si="115">C19/C15</f>
        <v>0.83253588516746413</v>
      </c>
      <c r="D84" s="400">
        <f t="shared" si="115"/>
        <v>0.45175834084761046</v>
      </c>
      <c r="E84" s="400">
        <f t="shared" si="115"/>
        <v>0.27515734589268293</v>
      </c>
      <c r="F84" s="400">
        <f t="shared" si="115"/>
        <v>0.88590982278870989</v>
      </c>
      <c r="G84" s="400">
        <f t="shared" si="115"/>
        <v>0.41409952429216018</v>
      </c>
      <c r="H84" s="400">
        <f t="shared" si="115"/>
        <v>0.3155753841132839</v>
      </c>
      <c r="I84" s="400">
        <f t="shared" si="115"/>
        <v>0.30013367403941826</v>
      </c>
      <c r="J84" s="400">
        <f t="shared" ref="J84:Y84" si="116">J19/J15</f>
        <v>0.45704091937947866</v>
      </c>
      <c r="K84" s="400">
        <f t="shared" si="116"/>
        <v>0.20552145832346164</v>
      </c>
      <c r="L84" s="400">
        <f t="shared" si="116"/>
        <v>0.20604310512612897</v>
      </c>
      <c r="M84" s="400">
        <f t="shared" si="116"/>
        <v>0.32847215720465128</v>
      </c>
      <c r="N84" s="400">
        <f t="shared" si="116"/>
        <v>0.44413842376799095</v>
      </c>
      <c r="O84" s="400">
        <f t="shared" si="116"/>
        <v>0.36002907337553192</v>
      </c>
      <c r="P84" s="400">
        <f t="shared" si="116"/>
        <v>0.26149367247884758</v>
      </c>
      <c r="Q84" s="400">
        <f t="shared" si="116"/>
        <v>0.20953918118844131</v>
      </c>
      <c r="R84" s="400">
        <f t="shared" si="116"/>
        <v>0.30853761281686087</v>
      </c>
      <c r="S84" s="400">
        <f t="shared" si="116"/>
        <v>0.35388368848869534</v>
      </c>
      <c r="T84" s="401">
        <f t="shared" si="116"/>
        <v>0.46110534639345929</v>
      </c>
      <c r="U84" s="401">
        <f t="shared" si="116"/>
        <v>0.37543819419590352</v>
      </c>
      <c r="V84" s="401">
        <f t="shared" si="116"/>
        <v>0.24258317668029669</v>
      </c>
      <c r="W84" s="401">
        <f t="shared" si="116"/>
        <v>0.29737608773372137</v>
      </c>
      <c r="X84" s="401">
        <f t="shared" si="116"/>
        <v>0.30341663517083545</v>
      </c>
      <c r="Y84" s="401">
        <f t="shared" si="116"/>
        <v>0.1600950151506767</v>
      </c>
      <c r="Z84" s="401">
        <f t="shared" ref="Z84:AA84" si="117">Z19/Z15</f>
        <v>0.29654417390289017</v>
      </c>
      <c r="AA84" s="401">
        <f t="shared" si="117"/>
        <v>0.34059131177286794</v>
      </c>
      <c r="AB84" s="401">
        <f t="shared" ref="AB84:AC84" si="118">AB19/AB15</f>
        <v>0.24480009461631588</v>
      </c>
      <c r="AC84" s="401">
        <f t="shared" si="118"/>
        <v>0.21537550302199143</v>
      </c>
      <c r="AD84" s="401">
        <f t="shared" ref="AD84:AE84" si="119">AD19/AD15</f>
        <v>0.18226795297301934</v>
      </c>
      <c r="AE84" s="401">
        <f t="shared" si="119"/>
        <v>0.17546254142996962</v>
      </c>
      <c r="AF84" s="356">
        <f t="shared" ref="AF84:AG84" si="120">AF19/AF15</f>
        <v>0.3163818968620648</v>
      </c>
      <c r="AG84" s="356">
        <f t="shared" si="120"/>
        <v>0.1824376043089547</v>
      </c>
      <c r="AH84" s="356">
        <f t="shared" ref="AH84:AI84" si="121">AH19/AH15</f>
        <v>0.32975174334427487</v>
      </c>
      <c r="AI84" s="356">
        <f t="shared" si="121"/>
        <v>0.25997719498289623</v>
      </c>
      <c r="AJ84" s="356">
        <f t="shared" ref="AJ84:AK84" si="122">AJ19/AJ15</f>
        <v>0.44301416588739906</v>
      </c>
      <c r="AK84" s="356">
        <f t="shared" si="122"/>
        <v>0.4166465831948778</v>
      </c>
      <c r="AL84" s="356">
        <f t="shared" ref="AL84:AM84" si="123">AL19/AL15</f>
        <v>0.32990354176558856</v>
      </c>
      <c r="AM84" s="356">
        <f t="shared" si="123"/>
        <v>0.45957299148794928</v>
      </c>
      <c r="AN84" s="356">
        <f t="shared" ref="AN84" si="124">AN19/AN15</f>
        <v>0.4088056873060506</v>
      </c>
      <c r="AO84" s="356">
        <f t="shared" ref="AO84:AP84" si="125">AO19/AO15</f>
        <v>0.4809436246725356</v>
      </c>
      <c r="AP84" s="356">
        <f t="shared" si="125"/>
        <v>0.36216998856041266</v>
      </c>
      <c r="AQ84" s="356">
        <f t="shared" ref="AQ84:AR84" si="126">AQ19/AQ15</f>
        <v>0.32322346158666498</v>
      </c>
      <c r="AR84" s="356">
        <f t="shared" si="126"/>
        <v>0.5527704715932904</v>
      </c>
      <c r="AS84" s="356">
        <f t="shared" ref="AS84:AT84" si="127">AS19/AS15</f>
        <v>0.41623268075646225</v>
      </c>
      <c r="AT84" s="356">
        <f t="shared" si="127"/>
        <v>0.33008731771294314</v>
      </c>
      <c r="AU84" s="356">
        <f t="shared" ref="AU84:AV84" si="128">AU19/AU15</f>
        <v>0.41899308173194805</v>
      </c>
      <c r="AV84" s="356">
        <f t="shared" si="128"/>
        <v>0.61352221967628584</v>
      </c>
      <c r="AW84" s="356">
        <f t="shared" ref="AW84:AY84" si="129">AW19/AW15</f>
        <v>0.48614509552627627</v>
      </c>
      <c r="AX84" s="356">
        <f t="shared" si="129"/>
        <v>0.51910856988497323</v>
      </c>
      <c r="AY84" s="356">
        <f t="shared" si="129"/>
        <v>0.49966112862129547</v>
      </c>
      <c r="AZ84" s="356">
        <f t="shared" ref="AZ84:BA84" si="130">AZ19/AZ15</f>
        <v>0.47425495547617941</v>
      </c>
      <c r="BA84" s="356">
        <f t="shared" si="130"/>
        <v>0.39913125762350221</v>
      </c>
      <c r="BB84" s="356">
        <f t="shared" ref="BB84:BC84" si="131">BB19/BB15</f>
        <v>0.52478428181701198</v>
      </c>
      <c r="BC84" s="356">
        <f t="shared" si="131"/>
        <v>0.56046307447930399</v>
      </c>
      <c r="BD84" s="175"/>
      <c r="BE84" s="2"/>
      <c r="BF84" s="3"/>
    </row>
    <row r="85" spans="1:58" s="193" customFormat="1">
      <c r="A85" s="2" t="s">
        <v>420</v>
      </c>
      <c r="B85" s="400"/>
      <c r="C85" s="400"/>
      <c r="D85" s="400"/>
      <c r="E85" s="400">
        <f>E20/E15</f>
        <v>-0.21659685292170996</v>
      </c>
      <c r="F85" s="400">
        <f>F20/F15</f>
        <v>-0.89228179367781801</v>
      </c>
      <c r="G85" s="400">
        <f>G20/G15</f>
        <v>-0.40576522369195162</v>
      </c>
      <c r="H85" s="400">
        <f>H20/H15</f>
        <v>-0.28125919430380741</v>
      </c>
      <c r="I85" s="400">
        <f>I20/I15</f>
        <v>-0.23317667630863223</v>
      </c>
      <c r="J85" s="400">
        <f t="shared" ref="J85:Y85" si="132">J20/J15</f>
        <v>-0.30185903255032037</v>
      </c>
      <c r="K85" s="400">
        <f t="shared" si="132"/>
        <v>-7.8367259691083976E-2</v>
      </c>
      <c r="L85" s="400">
        <f t="shared" si="132"/>
        <v>-2.5901540526332451E-2</v>
      </c>
      <c r="M85" s="400">
        <f t="shared" si="132"/>
        <v>-0.15061690039257175</v>
      </c>
      <c r="N85" s="400">
        <f t="shared" si="132"/>
        <v>-0.20123867487682431</v>
      </c>
      <c r="O85" s="400">
        <f t="shared" si="132"/>
        <v>-0.11595553969322575</v>
      </c>
      <c r="P85" s="400">
        <f t="shared" si="132"/>
        <v>1.2304070505811643E-2</v>
      </c>
      <c r="Q85" s="400">
        <f t="shared" si="132"/>
        <v>0.11789604288356287</v>
      </c>
      <c r="R85" s="400">
        <f t="shared" si="132"/>
        <v>4.312261296563645E-2</v>
      </c>
      <c r="S85" s="400">
        <f t="shared" si="132"/>
        <v>-2.2386677882399626E-2</v>
      </c>
      <c r="T85" s="401">
        <f t="shared" si="132"/>
        <v>-0.12773021448970129</v>
      </c>
      <c r="U85" s="401">
        <f t="shared" si="132"/>
        <v>-2.4617518207097573E-2</v>
      </c>
      <c r="V85" s="401">
        <f t="shared" si="132"/>
        <v>0.11716694363129225</v>
      </c>
      <c r="W85" s="401">
        <f t="shared" si="132"/>
        <v>5.7150067491756031E-2</v>
      </c>
      <c r="X85" s="401">
        <f t="shared" si="132"/>
        <v>4.2998060237653776E-2</v>
      </c>
      <c r="Y85" s="401">
        <f t="shared" si="132"/>
        <v>0.20408794878277653</v>
      </c>
      <c r="Z85" s="401">
        <f t="shared" ref="Z85:AA85" si="133">Z20/Z15</f>
        <v>7.1178891819090928E-2</v>
      </c>
      <c r="AA85" s="401">
        <f t="shared" si="133"/>
        <v>3.4795602518945458E-2</v>
      </c>
      <c r="AB85" s="401">
        <f t="shared" ref="AB85:AC85" si="134">AB20/AB15</f>
        <v>0.13979294810309548</v>
      </c>
      <c r="AC85" s="401">
        <f t="shared" si="134"/>
        <v>0.17079106214408898</v>
      </c>
      <c r="AD85" s="401">
        <f t="shared" ref="AD85:AE85" si="135">AD20/AD15</f>
        <v>0.22183031183804899</v>
      </c>
      <c r="AE85" s="401">
        <f t="shared" si="135"/>
        <v>0.21118570408511389</v>
      </c>
      <c r="AF85" s="356">
        <f t="shared" ref="AF85:AG85" si="136">AF20/AF15</f>
        <v>5.3997583790027066E-2</v>
      </c>
      <c r="AG85" s="356">
        <f t="shared" si="136"/>
        <v>0.19125428628291347</v>
      </c>
      <c r="AH85" s="356">
        <f t="shared" ref="AH85:AI85" si="137">AH20/AH15</f>
        <v>0.3824973124804768</v>
      </c>
      <c r="AI85" s="356">
        <f t="shared" si="137"/>
        <v>0.45052578233878121</v>
      </c>
      <c r="AJ85" s="356">
        <f t="shared" ref="AJ85:AK85" si="138">AJ20/AJ15</f>
        <v>0.24379631471147001</v>
      </c>
      <c r="AK85" s="356">
        <f t="shared" si="138"/>
        <v>0.1878756925714985</v>
      </c>
      <c r="AL85" s="356">
        <f t="shared" ref="AL85:AM85" si="139">AL20/AL15</f>
        <v>0.346918281926899</v>
      </c>
      <c r="AM85" s="356">
        <f t="shared" si="139"/>
        <v>0.24930732269322345</v>
      </c>
      <c r="AN85" s="356">
        <f t="shared" ref="AN85" si="140">AN20/AN15</f>
        <v>0.26167689410655032</v>
      </c>
      <c r="AO85" s="356">
        <f t="shared" ref="AO85:AP85" si="141">AO20/AO15</f>
        <v>0.18436848041734907</v>
      </c>
      <c r="AP85" s="356">
        <f t="shared" si="141"/>
        <v>0.30751457049787689</v>
      </c>
      <c r="AQ85" s="356">
        <f t="shared" ref="AQ85:AR85" si="142">AQ20/AQ15</f>
        <v>0.34290011279608973</v>
      </c>
      <c r="AR85" s="356">
        <f t="shared" si="142"/>
        <v>0.11944391074895132</v>
      </c>
      <c r="AS85" s="356">
        <f t="shared" ref="AS85:AT85" si="143">AS20/AS15</f>
        <v>0.2395097667204939</v>
      </c>
      <c r="AT85" s="356">
        <f t="shared" si="143"/>
        <v>0.30869988147591326</v>
      </c>
      <c r="AU85" s="356">
        <f t="shared" ref="AU85:AV85" si="144">AU20/AU15</f>
        <v>0.17808584558350291</v>
      </c>
      <c r="AV85" s="356">
        <f t="shared" si="144"/>
        <v>-5.4386776775758351E-2</v>
      </c>
      <c r="AW85" s="356">
        <f t="shared" ref="AW85:AY85" si="145">AW20/AW15</f>
        <v>7.3678838387048168E-2</v>
      </c>
      <c r="AX85" s="356">
        <f t="shared" si="145"/>
        <v>5.6829501316937557E-2</v>
      </c>
      <c r="AY85" s="356">
        <f t="shared" si="145"/>
        <v>6.08704003120209E-2</v>
      </c>
      <c r="AZ85" s="356">
        <f t="shared" ref="AZ85:BA85" si="146">AZ20/AZ15</f>
        <v>7.2504863364286687E-2</v>
      </c>
      <c r="BA85" s="356">
        <f t="shared" si="146"/>
        <v>0.17163556952234793</v>
      </c>
      <c r="BB85" s="356">
        <f t="shared" ref="BB85:BC85" si="147">BB20/BB15</f>
        <v>4.1680780594518095E-2</v>
      </c>
      <c r="BC85" s="356">
        <f t="shared" si="147"/>
        <v>-1.1432748484049807E-3</v>
      </c>
      <c r="BD85" s="175"/>
      <c r="BE85" s="2"/>
      <c r="BF85" s="3"/>
    </row>
    <row r="86" spans="1:58" s="193" customFormat="1">
      <c r="A86" s="2"/>
      <c r="B86" s="400"/>
      <c r="C86" s="400"/>
      <c r="D86" s="400"/>
      <c r="E86" s="400"/>
      <c r="F86" s="400"/>
      <c r="G86" s="400"/>
      <c r="H86" s="400"/>
      <c r="I86" s="400"/>
      <c r="J86" s="400"/>
      <c r="K86" s="400"/>
      <c r="L86" s="400"/>
      <c r="M86" s="400"/>
      <c r="N86" s="400"/>
      <c r="O86" s="400"/>
      <c r="P86" s="400"/>
      <c r="Q86" s="400"/>
      <c r="R86" s="400"/>
      <c r="S86" s="400"/>
      <c r="T86" s="401"/>
      <c r="U86" s="401"/>
      <c r="V86" s="401"/>
      <c r="W86" s="401"/>
      <c r="X86" s="401"/>
      <c r="Y86" s="401"/>
      <c r="Z86" s="401"/>
      <c r="AA86" s="401"/>
      <c r="AB86" s="401"/>
      <c r="AC86" s="401"/>
      <c r="AD86" s="401"/>
      <c r="AE86" s="401"/>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175"/>
      <c r="BE86" s="2"/>
      <c r="BF86" s="3"/>
    </row>
    <row r="87" spans="1:58">
      <c r="A87" s="2" t="s">
        <v>421</v>
      </c>
      <c r="B87" s="321"/>
      <c r="C87" s="321"/>
      <c r="D87" s="321"/>
      <c r="E87" s="321"/>
      <c r="F87" s="321"/>
      <c r="G87" s="321"/>
      <c r="H87" s="321"/>
      <c r="I87" s="353">
        <f>I20/E20-1</f>
        <v>0.33461732388305743</v>
      </c>
      <c r="J87" s="353">
        <f t="shared" ref="J87:AC87" si="148">J20/F20-1</f>
        <v>-0.54686206131114923</v>
      </c>
      <c r="K87" s="353">
        <f t="shared" si="148"/>
        <v>-0.75119401531301944</v>
      </c>
      <c r="L87" s="353">
        <f t="shared" si="148"/>
        <v>-0.88415898924719005</v>
      </c>
      <c r="M87" s="353">
        <f t="shared" si="148"/>
        <v>-0.20846422100875606</v>
      </c>
      <c r="N87" s="353">
        <f t="shared" si="148"/>
        <v>-0.19518083754617688</v>
      </c>
      <c r="O87" s="353">
        <f t="shared" si="148"/>
        <v>0.82733373239844377</v>
      </c>
      <c r="P87" s="353">
        <f t="shared" si="148"/>
        <v>-1.5499664586400761</v>
      </c>
      <c r="Q87" s="353">
        <f t="shared" si="148"/>
        <v>-1.9175113841256424</v>
      </c>
      <c r="R87" s="353">
        <f t="shared" si="148"/>
        <v>-1.2480739492873527</v>
      </c>
      <c r="S87" s="353">
        <f t="shared" si="148"/>
        <v>-0.78212037170243265</v>
      </c>
      <c r="T87" s="354">
        <f t="shared" si="148"/>
        <v>-13.359597536891517</v>
      </c>
      <c r="U87" s="354">
        <f t="shared" si="148"/>
        <v>-1.2579029241762305</v>
      </c>
      <c r="V87" s="354">
        <f t="shared" si="148"/>
        <v>2.3207283254288655</v>
      </c>
      <c r="W87" s="354">
        <f t="shared" si="148"/>
        <v>-4.0862655081699</v>
      </c>
      <c r="X87" s="354">
        <f t="shared" si="148"/>
        <v>-1.3961868265054336</v>
      </c>
      <c r="Y87" s="354">
        <f t="shared" si="148"/>
        <v>-10.154616768380876</v>
      </c>
      <c r="Z87" s="354">
        <f t="shared" si="148"/>
        <v>-0.34859917724400902</v>
      </c>
      <c r="AA87" s="354">
        <f t="shared" si="148"/>
        <v>-0.33246652062295212</v>
      </c>
      <c r="AB87" s="354">
        <f t="shared" si="148"/>
        <v>2.5890241173487443</v>
      </c>
      <c r="AC87" s="354">
        <f t="shared" si="148"/>
        <v>-7.349411777741921E-2</v>
      </c>
      <c r="AD87" s="354">
        <f t="shared" ref="AD87:AN87" si="149">AD20/Z20-1</f>
        <v>2.4466545960701032</v>
      </c>
      <c r="AE87" s="354">
        <f t="shared" si="149"/>
        <v>5.6347886979447779</v>
      </c>
      <c r="AF87" s="327">
        <f t="shared" si="149"/>
        <v>-0.58620961037648767</v>
      </c>
      <c r="AG87" s="327">
        <f t="shared" si="149"/>
        <v>0.2273910503991734</v>
      </c>
      <c r="AH87" s="327">
        <f t="shared" si="149"/>
        <v>0.28386401839753339</v>
      </c>
      <c r="AI87" s="327">
        <f t="shared" si="149"/>
        <v>0.64405770201869461</v>
      </c>
      <c r="AJ87" s="327">
        <f t="shared" si="149"/>
        <v>2.4624979443782529</v>
      </c>
      <c r="AK87" s="327">
        <f t="shared" si="149"/>
        <v>-0.43571583304602413</v>
      </c>
      <c r="AL87" s="327">
        <f t="shared" si="149"/>
        <v>-8.5793600048376439E-2</v>
      </c>
      <c r="AM87" s="327">
        <f t="shared" si="149"/>
        <v>-0.47078867097862753</v>
      </c>
      <c r="AN87" s="327">
        <f t="shared" si="149"/>
        <v>6.9328245629646235E-2</v>
      </c>
      <c r="AO87" s="327">
        <f t="shared" ref="AO87:AS87" si="150">AO20/AK20-1</f>
        <v>0.24775718175144923</v>
      </c>
      <c r="AP87" s="327">
        <f t="shared" si="150"/>
        <v>-3.6672213982988144E-2</v>
      </c>
      <c r="AQ87" s="327">
        <f t="shared" si="150"/>
        <v>0.45386877099689227</v>
      </c>
      <c r="AR87" s="327">
        <f t="shared" si="150"/>
        <v>-0.54236366745016051</v>
      </c>
      <c r="AS87" s="327">
        <f t="shared" si="150"/>
        <v>0.27852537153981083</v>
      </c>
      <c r="AT87" s="327">
        <f t="shared" ref="AT87:BC87" si="151">AT20/AP20-1</f>
        <v>-7.2135400680696904E-2</v>
      </c>
      <c r="AU87" s="327">
        <f t="shared" si="151"/>
        <v>-0.5256220405482448</v>
      </c>
      <c r="AV87" s="327">
        <f t="shared" si="151"/>
        <v>-1.4252810265320264</v>
      </c>
      <c r="AW87" s="327">
        <f t="shared" si="151"/>
        <v>-0.70302169746457821</v>
      </c>
      <c r="AX87" s="327">
        <f t="shared" si="151"/>
        <v>-0.81783944763787686</v>
      </c>
      <c r="AY87" s="327">
        <f t="shared" si="151"/>
        <v>-0.64757321541180168</v>
      </c>
      <c r="AZ87" s="327">
        <f t="shared" si="151"/>
        <v>-2.4137587958964994</v>
      </c>
      <c r="BA87" s="327">
        <f t="shared" si="151"/>
        <v>1.4582682492866468</v>
      </c>
      <c r="BB87" s="327">
        <f t="shared" si="151"/>
        <v>-0.23013019488152819</v>
      </c>
      <c r="BC87" s="327">
        <f t="shared" si="151"/>
        <v>-1.0189606833060569</v>
      </c>
      <c r="BD87" s="4"/>
      <c r="BE87" s="2"/>
      <c r="BF87" s="2"/>
    </row>
    <row r="88" spans="1:58">
      <c r="A88" s="2"/>
      <c r="B88" s="321"/>
      <c r="C88" s="321"/>
      <c r="D88" s="321"/>
      <c r="E88" s="321"/>
      <c r="F88" s="321"/>
      <c r="G88" s="321"/>
      <c r="H88" s="321"/>
      <c r="I88" s="353"/>
      <c r="J88" s="353"/>
      <c r="K88" s="353"/>
      <c r="L88" s="353"/>
      <c r="M88" s="353"/>
      <c r="N88" s="353"/>
      <c r="O88" s="353"/>
      <c r="P88" s="353"/>
      <c r="Q88" s="353"/>
      <c r="R88" s="353"/>
      <c r="S88" s="353"/>
      <c r="T88" s="354"/>
      <c r="U88" s="354"/>
      <c r="V88" s="354"/>
      <c r="W88" s="354"/>
      <c r="X88" s="354"/>
      <c r="Y88" s="354"/>
      <c r="Z88" s="354"/>
      <c r="AA88" s="354"/>
      <c r="AB88" s="354"/>
      <c r="AC88" s="354"/>
      <c r="AD88" s="354"/>
      <c r="AE88" s="354"/>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4"/>
      <c r="BE88" s="2"/>
      <c r="BF88" s="2"/>
    </row>
    <row r="89" spans="1:58" s="27" customFormat="1">
      <c r="A89" s="510" t="s">
        <v>65</v>
      </c>
      <c r="B89" s="530" t="str">
        <f>B$1</f>
        <v>Q1 12</v>
      </c>
      <c r="C89" s="530" t="str">
        <f t="shared" ref="C89:Y89" si="152">C$1</f>
        <v>Q2 12</v>
      </c>
      <c r="D89" s="530" t="str">
        <f t="shared" si="152"/>
        <v>Q3 12</v>
      </c>
      <c r="E89" s="530" t="str">
        <f t="shared" si="152"/>
        <v>4Q12</v>
      </c>
      <c r="F89" s="530" t="str">
        <f t="shared" si="152"/>
        <v>1Q13</v>
      </c>
      <c r="G89" s="530" t="str">
        <f t="shared" si="152"/>
        <v>2Q13</v>
      </c>
      <c r="H89" s="530" t="str">
        <f t="shared" si="152"/>
        <v>3Q13</v>
      </c>
      <c r="I89" s="530" t="str">
        <f t="shared" si="152"/>
        <v>4Q13</v>
      </c>
      <c r="J89" s="530" t="str">
        <f t="shared" si="152"/>
        <v>1Q14</v>
      </c>
      <c r="K89" s="530" t="str">
        <f t="shared" si="152"/>
        <v>2Q14</v>
      </c>
      <c r="L89" s="530" t="str">
        <f t="shared" si="152"/>
        <v>3Q14</v>
      </c>
      <c r="M89" s="530" t="str">
        <f t="shared" si="152"/>
        <v>4Q14</v>
      </c>
      <c r="N89" s="530" t="str">
        <f t="shared" si="152"/>
        <v>1Q15</v>
      </c>
      <c r="O89" s="530" t="str">
        <f t="shared" si="152"/>
        <v>2Q15</v>
      </c>
      <c r="P89" s="530" t="str">
        <f t="shared" si="152"/>
        <v>3Q15</v>
      </c>
      <c r="Q89" s="530" t="str">
        <f t="shared" si="152"/>
        <v>4Q15</v>
      </c>
      <c r="R89" s="530" t="str">
        <f t="shared" si="152"/>
        <v>1Q16</v>
      </c>
      <c r="S89" s="530" t="str">
        <f t="shared" si="152"/>
        <v>2Q16</v>
      </c>
      <c r="T89" s="530" t="str">
        <f t="shared" si="152"/>
        <v>3Q16</v>
      </c>
      <c r="U89" s="530" t="str">
        <f t="shared" si="152"/>
        <v>4Q16</v>
      </c>
      <c r="V89" s="530" t="str">
        <f t="shared" si="152"/>
        <v>1Q17</v>
      </c>
      <c r="W89" s="530" t="str">
        <f t="shared" si="152"/>
        <v>2Q17</v>
      </c>
      <c r="X89" s="530" t="str">
        <f t="shared" si="152"/>
        <v>3Q17</v>
      </c>
      <c r="Y89" s="530" t="str">
        <f t="shared" si="152"/>
        <v>4Q17</v>
      </c>
      <c r="Z89" s="530" t="str">
        <f t="shared" ref="Z89:AE89" si="153">Z76</f>
        <v>1Q18</v>
      </c>
      <c r="AA89" s="530" t="str">
        <f t="shared" si="153"/>
        <v>2Q18</v>
      </c>
      <c r="AB89" s="530" t="str">
        <f t="shared" si="153"/>
        <v>3Q18</v>
      </c>
      <c r="AC89" s="530" t="str">
        <f t="shared" si="153"/>
        <v>4Q18</v>
      </c>
      <c r="AD89" s="530" t="str">
        <f t="shared" si="153"/>
        <v>1Q19</v>
      </c>
      <c r="AE89" s="530" t="str">
        <f t="shared" si="153"/>
        <v>2Q19</v>
      </c>
      <c r="AF89" s="530" t="str">
        <f t="shared" ref="AF89:AG89" si="154">AF76</f>
        <v>3Q19</v>
      </c>
      <c r="AG89" s="530" t="str">
        <f t="shared" si="154"/>
        <v>4Q19</v>
      </c>
      <c r="AH89" s="530" t="str">
        <f t="shared" ref="AH89:AI89" si="155">AH76</f>
        <v>1Q20</v>
      </c>
      <c r="AI89" s="530" t="str">
        <f t="shared" si="155"/>
        <v>2Q20</v>
      </c>
      <c r="AJ89" s="530" t="str">
        <f t="shared" ref="AJ89:AK89" si="156">AJ76</f>
        <v>3Q20</v>
      </c>
      <c r="AK89" s="530" t="str">
        <f t="shared" si="156"/>
        <v>4Q20</v>
      </c>
      <c r="AL89" s="530" t="str">
        <f t="shared" ref="AL89:AM89" si="157">AL76</f>
        <v>1Q21</v>
      </c>
      <c r="AM89" s="530" t="str">
        <f t="shared" si="157"/>
        <v>2Q21</v>
      </c>
      <c r="AN89" s="530" t="str">
        <f t="shared" ref="AN89" si="158">AN76</f>
        <v>3Q21</v>
      </c>
      <c r="AO89" s="530" t="str">
        <f t="shared" ref="AO89:AP89" si="159">AO76</f>
        <v>4Q21</v>
      </c>
      <c r="AP89" s="530" t="str">
        <f t="shared" si="159"/>
        <v>1Q22</v>
      </c>
      <c r="AQ89" s="530" t="str">
        <f t="shared" ref="AQ89:AR89" si="160">AQ76</f>
        <v>2Q22</v>
      </c>
      <c r="AR89" s="530" t="str">
        <f t="shared" si="160"/>
        <v>3Q22</v>
      </c>
      <c r="AS89" s="530" t="str">
        <f t="shared" ref="AS89:AT89" si="161">AS76</f>
        <v>4Q22</v>
      </c>
      <c r="AT89" s="530" t="str">
        <f t="shared" si="161"/>
        <v>1Q23</v>
      </c>
      <c r="AU89" s="530" t="str">
        <f t="shared" ref="AU89:AV89" si="162">AU76</f>
        <v>2Q23</v>
      </c>
      <c r="AV89" s="530" t="str">
        <f t="shared" si="162"/>
        <v>3Q23</v>
      </c>
      <c r="AW89" s="530" t="str">
        <f t="shared" ref="AW89:AY89" si="163">AW76</f>
        <v>4Q23</v>
      </c>
      <c r="AX89" s="530" t="str">
        <f t="shared" si="163"/>
        <v>1Q24</v>
      </c>
      <c r="AY89" s="530" t="str">
        <f t="shared" si="163"/>
        <v>2Q24</v>
      </c>
      <c r="AZ89" s="530" t="str">
        <f t="shared" ref="AZ89:BA89" si="164">AZ76</f>
        <v>3Q24</v>
      </c>
      <c r="BA89" s="530" t="str">
        <f t="shared" si="164"/>
        <v>4Q24</v>
      </c>
      <c r="BB89" s="530" t="str">
        <f t="shared" ref="BB89:BC89" si="165">BB76</f>
        <v>1Q25</v>
      </c>
      <c r="BC89" s="530" t="str">
        <f t="shared" si="165"/>
        <v>2Q25</v>
      </c>
      <c r="BD89" s="527"/>
      <c r="BE89" s="510"/>
      <c r="BF89" s="176"/>
    </row>
    <row r="90" spans="1:58">
      <c r="A90" s="2"/>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c r="Z90" s="321"/>
      <c r="AA90" s="321"/>
      <c r="AB90" s="321"/>
      <c r="AC90" s="321"/>
      <c r="AD90" s="321"/>
      <c r="AE90" s="321"/>
      <c r="AF90" s="322"/>
      <c r="AG90" s="322"/>
      <c r="AH90" s="322"/>
      <c r="AI90" s="322"/>
      <c r="AJ90" s="322"/>
      <c r="AK90" s="322"/>
      <c r="AL90" s="322"/>
      <c r="AM90" s="322"/>
      <c r="AN90" s="322"/>
      <c r="AO90" s="322"/>
      <c r="AP90" s="322"/>
      <c r="AQ90" s="322"/>
      <c r="AR90" s="322"/>
      <c r="AS90" s="322"/>
      <c r="AT90" s="322"/>
      <c r="AU90" s="322"/>
      <c r="AV90" s="322"/>
      <c r="AW90" s="322"/>
      <c r="AX90" s="322"/>
      <c r="AY90" s="322"/>
      <c r="AZ90" s="322"/>
      <c r="BA90" s="322"/>
      <c r="BB90" s="322"/>
      <c r="BC90" s="322"/>
      <c r="BD90" s="2"/>
      <c r="BE90" s="2"/>
      <c r="BF90" s="2"/>
    </row>
    <row r="91" spans="1:58" s="193" customFormat="1">
      <c r="A91" s="2" t="s">
        <v>541</v>
      </c>
      <c r="B91" s="353"/>
      <c r="C91" s="353"/>
      <c r="D91" s="353"/>
      <c r="E91" s="353"/>
      <c r="F91" s="353">
        <f t="shared" ref="F91:AC91" si="166">F25/B25-1</f>
        <v>0.14369734822286273</v>
      </c>
      <c r="G91" s="353">
        <f t="shared" si="166"/>
        <v>0.2618858855279842</v>
      </c>
      <c r="H91" s="353">
        <f t="shared" si="166"/>
        <v>0.19679001632859183</v>
      </c>
      <c r="I91" s="353">
        <f t="shared" si="166"/>
        <v>0.17259856260351247</v>
      </c>
      <c r="J91" s="353">
        <f t="shared" si="166"/>
        <v>0.17891418291644556</v>
      </c>
      <c r="K91" s="353">
        <f t="shared" si="166"/>
        <v>0.20751406634072844</v>
      </c>
      <c r="L91" s="353">
        <f t="shared" si="166"/>
        <v>0.13897854594261894</v>
      </c>
      <c r="M91" s="353">
        <f t="shared" si="166"/>
        <v>0.24053519614112617</v>
      </c>
      <c r="N91" s="353">
        <f t="shared" si="166"/>
        <v>0.14780098075578163</v>
      </c>
      <c r="O91" s="353">
        <f t="shared" si="166"/>
        <v>1.2617297820245899E-2</v>
      </c>
      <c r="P91" s="353">
        <f t="shared" si="166"/>
        <v>-1.1085482423200954E-3</v>
      </c>
      <c r="Q91" s="353">
        <f t="shared" si="166"/>
        <v>9.2008537336554452E-2</v>
      </c>
      <c r="R91" s="398">
        <f t="shared" si="166"/>
        <v>0.50707447707360132</v>
      </c>
      <c r="S91" s="399">
        <f t="shared" si="166"/>
        <v>0.46757035962806737</v>
      </c>
      <c r="T91" s="399">
        <f t="shared" si="166"/>
        <v>0.48624771855843663</v>
      </c>
      <c r="U91" s="399">
        <f t="shared" si="166"/>
        <v>0.32918945459613824</v>
      </c>
      <c r="V91" s="373">
        <f t="shared" si="166"/>
        <v>0.10351909191395214</v>
      </c>
      <c r="W91" s="373">
        <f t="shared" si="166"/>
        <v>0.19248119477862091</v>
      </c>
      <c r="X91" s="373">
        <f t="shared" si="166"/>
        <v>0.12504932739946084</v>
      </c>
      <c r="Y91" s="373">
        <f t="shared" si="166"/>
        <v>8.8875604860045421E-2</v>
      </c>
      <c r="Z91" s="373">
        <f t="shared" si="166"/>
        <v>4.0262491336411355E-2</v>
      </c>
      <c r="AA91" s="373">
        <f t="shared" si="166"/>
        <v>-5.0423294400576135E-2</v>
      </c>
      <c r="AB91" s="373">
        <f t="shared" si="166"/>
        <v>7.5747896200062614E-2</v>
      </c>
      <c r="AC91" s="373">
        <f t="shared" si="166"/>
        <v>9.7492685536785251E-2</v>
      </c>
      <c r="AD91" s="373">
        <f t="shared" ref="AD91:AN91" si="167">AD25/Z25-1</f>
        <v>7.36003165653345E-2</v>
      </c>
      <c r="AE91" s="373">
        <f t="shared" si="167"/>
        <v>0.18173043959266066</v>
      </c>
      <c r="AF91" s="374">
        <f t="shared" si="167"/>
        <v>6.9317073293067688E-2</v>
      </c>
      <c r="AG91" s="374">
        <f t="shared" si="167"/>
        <v>6.2156131559402805E-2</v>
      </c>
      <c r="AH91" s="374">
        <f t="shared" si="167"/>
        <v>7.2085070768616477E-2</v>
      </c>
      <c r="AI91" s="374">
        <f t="shared" si="167"/>
        <v>-4.3736169429743343E-3</v>
      </c>
      <c r="AJ91" s="374">
        <f t="shared" si="167"/>
        <v>6.6212972780335111E-2</v>
      </c>
      <c r="AK91" s="374">
        <f t="shared" si="167"/>
        <v>0.1239205477314016</v>
      </c>
      <c r="AL91" s="374">
        <f t="shared" si="167"/>
        <v>9.1612806401444979E-2</v>
      </c>
      <c r="AM91" s="374">
        <f t="shared" si="167"/>
        <v>7.5305633309227682E-2</v>
      </c>
      <c r="AN91" s="374">
        <f t="shared" si="167"/>
        <v>9.1570568247616002E-2</v>
      </c>
      <c r="AO91" s="374">
        <f t="shared" ref="AO91:AS91" si="168">AO25/AK25-1</f>
        <v>9.6512505056597808E-2</v>
      </c>
      <c r="AP91" s="374">
        <f t="shared" si="168"/>
        <v>8.206377819935029E-2</v>
      </c>
      <c r="AQ91" s="374">
        <f t="shared" si="168"/>
        <v>0.1153643687012722</v>
      </c>
      <c r="AR91" s="374">
        <f t="shared" si="168"/>
        <v>0.1337649066449087</v>
      </c>
      <c r="AS91" s="374">
        <f t="shared" si="168"/>
        <v>0.12904471732499845</v>
      </c>
      <c r="AT91" s="374">
        <f>AT25/AP25-1</f>
        <v>0.15208577447457694</v>
      </c>
      <c r="AU91" s="374">
        <f>AU25/AQ25-1</f>
        <v>0.16751017560891568</v>
      </c>
      <c r="AV91" s="374">
        <f>AV25/AR25-1</f>
        <v>0.16368176585253802</v>
      </c>
      <c r="AW91" s="374">
        <f>AW25/AS52-1</f>
        <v>0.14478807146958461</v>
      </c>
      <c r="AX91" s="374">
        <f>AX25/AT52-1</f>
        <v>0.15780007147951314</v>
      </c>
      <c r="AY91" s="374">
        <f>AY25/AU25-1</f>
        <v>9.5498446032008744E-2</v>
      </c>
      <c r="AZ91" s="374">
        <f>AZ25/AV25-1</f>
        <v>8.7254793231736016E-2</v>
      </c>
      <c r="BA91" s="374">
        <f>BA25/AW25-1</f>
        <v>0.14141351437194238</v>
      </c>
      <c r="BB91" s="374">
        <f>BB25/AX25-1</f>
        <v>8.3485770020183203E-2</v>
      </c>
      <c r="BC91" s="374">
        <f>BC25/AY25-1</f>
        <v>0.10674908393660476</v>
      </c>
      <c r="BD91" s="4"/>
      <c r="BE91" s="2"/>
      <c r="BF91" s="3"/>
    </row>
    <row r="92" spans="1:58" s="193" customFormat="1">
      <c r="A92" s="2"/>
      <c r="B92" s="400"/>
      <c r="C92" s="400"/>
      <c r="D92" s="400"/>
      <c r="E92" s="400"/>
      <c r="F92" s="400"/>
      <c r="G92" s="400"/>
      <c r="H92" s="400"/>
      <c r="I92" s="400"/>
      <c r="J92" s="400"/>
      <c r="K92" s="400"/>
      <c r="L92" s="400"/>
      <c r="M92" s="400"/>
      <c r="N92" s="400"/>
      <c r="O92" s="400"/>
      <c r="P92" s="400"/>
      <c r="Q92" s="400"/>
      <c r="R92" s="400"/>
      <c r="S92" s="400"/>
      <c r="T92" s="401"/>
      <c r="U92" s="401"/>
      <c r="V92" s="401"/>
      <c r="W92" s="401"/>
      <c r="X92" s="401"/>
      <c r="Y92" s="401"/>
      <c r="Z92" s="401"/>
      <c r="AA92" s="401"/>
      <c r="AB92" s="401"/>
      <c r="AC92" s="401"/>
      <c r="AD92" s="401"/>
      <c r="AE92" s="401"/>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175"/>
      <c r="BE92" s="2"/>
      <c r="BF92" s="3"/>
    </row>
    <row r="93" spans="1:58" s="193" customFormat="1">
      <c r="A93" s="2" t="s">
        <v>542</v>
      </c>
      <c r="B93" s="353"/>
      <c r="C93" s="353"/>
      <c r="D93" s="353"/>
      <c r="E93" s="353"/>
      <c r="F93" s="353">
        <f t="shared" ref="F93:AC93" si="169">F26/B26-1</f>
        <v>-0.14771342249240127</v>
      </c>
      <c r="G93" s="353">
        <f t="shared" si="169"/>
        <v>-9.4059053985659613E-2</v>
      </c>
      <c r="H93" s="353">
        <f t="shared" si="169"/>
        <v>0.14429193476095814</v>
      </c>
      <c r="I93" s="353">
        <f t="shared" si="169"/>
        <v>0.8105533065747943</v>
      </c>
      <c r="J93" s="353">
        <f t="shared" si="169"/>
        <v>0.40851372971392341</v>
      </c>
      <c r="K93" s="353">
        <f t="shared" si="169"/>
        <v>0.50965825134064557</v>
      </c>
      <c r="L93" s="353">
        <f t="shared" si="169"/>
        <v>0.80117216878499442</v>
      </c>
      <c r="M93" s="353">
        <f t="shared" si="169"/>
        <v>0.24015059782879478</v>
      </c>
      <c r="N93" s="353">
        <f t="shared" si="169"/>
        <v>0.16579956022174125</v>
      </c>
      <c r="O93" s="353">
        <f t="shared" si="169"/>
        <v>0.26508008815711781</v>
      </c>
      <c r="P93" s="353">
        <f t="shared" si="169"/>
        <v>-0.13798156203016732</v>
      </c>
      <c r="Q93" s="353">
        <f t="shared" si="169"/>
        <v>-0.15919708226322227</v>
      </c>
      <c r="R93" s="375">
        <f t="shared" si="169"/>
        <v>1.1385243746871376</v>
      </c>
      <c r="S93" s="375">
        <f t="shared" si="169"/>
        <v>0.92091078207017385</v>
      </c>
      <c r="T93" s="402">
        <f t="shared" si="169"/>
        <v>1.1054663376514009</v>
      </c>
      <c r="U93" s="402">
        <f t="shared" si="169"/>
        <v>1.6126996461057095</v>
      </c>
      <c r="V93" s="354">
        <f t="shared" si="169"/>
        <v>0.12190446263259358</v>
      </c>
      <c r="W93" s="354">
        <f t="shared" si="169"/>
        <v>7.1062319553181652E-2</v>
      </c>
      <c r="X93" s="354">
        <f t="shared" si="169"/>
        <v>0.10328835966739947</v>
      </c>
      <c r="Y93" s="354">
        <f t="shared" si="169"/>
        <v>0.17165312157924695</v>
      </c>
      <c r="Z93" s="354">
        <f t="shared" si="169"/>
        <v>0.20816800965891802</v>
      </c>
      <c r="AA93" s="354">
        <f t="shared" si="169"/>
        <v>0.17071411864704733</v>
      </c>
      <c r="AB93" s="354">
        <f t="shared" si="169"/>
        <v>0.40627477931363631</v>
      </c>
      <c r="AC93" s="354">
        <f t="shared" si="169"/>
        <v>0.21160375036901113</v>
      </c>
      <c r="AD93" s="354">
        <f t="shared" ref="AD93:AN93" si="170">AD26/Z26-1</f>
        <v>0.11590200372285242</v>
      </c>
      <c r="AE93" s="354">
        <f t="shared" si="170"/>
        <v>8.8839146423538518E-2</v>
      </c>
      <c r="AF93" s="327">
        <f t="shared" si="170"/>
        <v>-0.15271033233535636</v>
      </c>
      <c r="AG93" s="327">
        <f t="shared" si="170"/>
        <v>-0.16038630637371321</v>
      </c>
      <c r="AH93" s="327">
        <f t="shared" si="170"/>
        <v>-0.26571514508465255</v>
      </c>
      <c r="AI93" s="327">
        <f t="shared" si="170"/>
        <v>-0.12945840313733892</v>
      </c>
      <c r="AJ93" s="327">
        <f t="shared" si="170"/>
        <v>0.22794148768728917</v>
      </c>
      <c r="AK93" s="327">
        <f t="shared" si="170"/>
        <v>0.4046934610092876</v>
      </c>
      <c r="AL93" s="327">
        <f t="shared" si="170"/>
        <v>0.66043806079627676</v>
      </c>
      <c r="AM93" s="327">
        <f t="shared" si="170"/>
        <v>0.42828992668107979</v>
      </c>
      <c r="AN93" s="327">
        <f t="shared" si="170"/>
        <v>0.15609343364886952</v>
      </c>
      <c r="AO93" s="327">
        <f t="shared" ref="AO93:AS93" si="171">AO26/AK26-1</f>
        <v>0.10400206811619395</v>
      </c>
      <c r="AP93" s="327">
        <f t="shared" si="171"/>
        <v>0.15530022310262281</v>
      </c>
      <c r="AQ93" s="327">
        <f t="shared" si="171"/>
        <v>0.1902195866613936</v>
      </c>
      <c r="AR93" s="327">
        <f t="shared" si="171"/>
        <v>0.12882223463388387</v>
      </c>
      <c r="AS93" s="327">
        <f t="shared" si="171"/>
        <v>0.10654095474211922</v>
      </c>
      <c r="AT93" s="327">
        <f>AT26/AP26-1</f>
        <v>0.15841755124178136</v>
      </c>
      <c r="AU93" s="327">
        <f>AU26/AQ26-1</f>
        <v>0.14893942362435619</v>
      </c>
      <c r="AV93" s="327">
        <f>AV26/AR26-1</f>
        <v>0.20386527493890272</v>
      </c>
      <c r="AW93" s="461">
        <f>AW26/AS53-1</f>
        <v>0.20070008444563459</v>
      </c>
      <c r="AX93" s="461">
        <f>AX26/AT53-1</f>
        <v>0.17906307771137353</v>
      </c>
      <c r="AY93" s="327">
        <f>AY26/AU26-1</f>
        <v>0.12486841290413175</v>
      </c>
      <c r="AZ93" s="327">
        <f>AZ26/AV26-1</f>
        <v>8.2705986817828814E-2</v>
      </c>
      <c r="BA93" s="327">
        <f>BA26/AW26-1</f>
        <v>5.8438870408553889E-2</v>
      </c>
      <c r="BB93" s="327">
        <f>BB26/AX26-1</f>
        <v>-6.2231879764091946E-3</v>
      </c>
      <c r="BC93" s="327">
        <f>BC26/AY26-1</f>
        <v>-1.7965239984191417E-2</v>
      </c>
      <c r="BD93" s="4"/>
      <c r="BE93" s="2"/>
      <c r="BF93" s="3"/>
    </row>
    <row r="94" spans="1:58" s="193" customFormat="1">
      <c r="A94" s="2" t="s">
        <v>543</v>
      </c>
      <c r="B94" s="375">
        <f t="shared" ref="B94:Y94" si="172">B26/B25</f>
        <v>0.22122958693563882</v>
      </c>
      <c r="C94" s="375">
        <f t="shared" si="172"/>
        <v>0.21472559318963955</v>
      </c>
      <c r="D94" s="375">
        <f t="shared" si="172"/>
        <v>0.16900934264792525</v>
      </c>
      <c r="E94" s="375">
        <f t="shared" si="172"/>
        <v>0.14548079617992477</v>
      </c>
      <c r="F94" s="375">
        <f t="shared" si="172"/>
        <v>0.16486092914858627</v>
      </c>
      <c r="G94" s="375">
        <f t="shared" si="172"/>
        <v>0.15415713041779522</v>
      </c>
      <c r="H94" s="375">
        <f t="shared" si="172"/>
        <v>0.16159562250072537</v>
      </c>
      <c r="I94" s="375">
        <f t="shared" si="172"/>
        <v>0.22462993301123416</v>
      </c>
      <c r="J94" s="375">
        <f t="shared" si="172"/>
        <v>0.19696843550115786</v>
      </c>
      <c r="K94" s="375">
        <f t="shared" si="172"/>
        <v>0.19273032954677968</v>
      </c>
      <c r="L94" s="375">
        <f t="shared" si="172"/>
        <v>0.25554611092776131</v>
      </c>
      <c r="M94" s="375">
        <f t="shared" si="172"/>
        <v>0.22456029186489349</v>
      </c>
      <c r="N94" s="375">
        <f t="shared" si="172"/>
        <v>0.20005708248621182</v>
      </c>
      <c r="O94" s="375">
        <f t="shared" si="172"/>
        <v>0.24078129301013756</v>
      </c>
      <c r="P94" s="375">
        <f t="shared" si="172"/>
        <v>0.22052992743465105</v>
      </c>
      <c r="Q94" s="375">
        <f t="shared" si="172"/>
        <v>0.17290244732732682</v>
      </c>
      <c r="R94" s="353">
        <f t="shared" si="172"/>
        <v>0.28387910069069888</v>
      </c>
      <c r="S94" s="353">
        <f t="shared" si="172"/>
        <v>0.31515993685044802</v>
      </c>
      <c r="T94" s="354">
        <f t="shared" si="172"/>
        <v>0.31240979068329366</v>
      </c>
      <c r="U94" s="354">
        <f t="shared" si="172"/>
        <v>0.339862885144673</v>
      </c>
      <c r="V94" s="354">
        <f t="shared" si="172"/>
        <v>0.28860871755344003</v>
      </c>
      <c r="W94" s="354">
        <f t="shared" si="172"/>
        <v>0.28307023580018886</v>
      </c>
      <c r="X94" s="354">
        <f t="shared" si="172"/>
        <v>0.30636708730249751</v>
      </c>
      <c r="Y94" s="354">
        <f t="shared" si="172"/>
        <v>0.36569963411005663</v>
      </c>
      <c r="Z94" s="354">
        <f t="shared" ref="Z94:AA94" si="173">Z26/Z25</f>
        <v>0.33519214886696325</v>
      </c>
      <c r="AA94" s="354">
        <f t="shared" si="173"/>
        <v>0.34899162928690003</v>
      </c>
      <c r="AB94" s="354">
        <f t="shared" ref="AB94:AC94" si="174">AB26/AB25</f>
        <v>0.4004993266611569</v>
      </c>
      <c r="AC94" s="354">
        <f t="shared" si="174"/>
        <v>0.40372300793932592</v>
      </c>
      <c r="AD94" s="354">
        <f t="shared" ref="AD94:AE94" si="175">AD26/AD25</f>
        <v>0.34839929234507677</v>
      </c>
      <c r="AE94" s="354">
        <f t="shared" si="175"/>
        <v>0.32155873709463872</v>
      </c>
      <c r="AF94" s="327">
        <f t="shared" ref="AF94:AG94" si="176">AF26/AF25</f>
        <v>0.31734174068839782</v>
      </c>
      <c r="AG94" s="327">
        <f t="shared" si="176"/>
        <v>0.31913515897158351</v>
      </c>
      <c r="AH94" s="327">
        <f t="shared" ref="AH94:AI94" si="177">AH26/AH25</f>
        <v>0.2386231566948365</v>
      </c>
      <c r="AI94" s="327">
        <f t="shared" si="177"/>
        <v>0.28115994236311237</v>
      </c>
      <c r="AJ94" s="327">
        <f t="shared" ref="AJ94:AK94" si="178">AJ26/AJ25</f>
        <v>0.36547772266363882</v>
      </c>
      <c r="AK94" s="327">
        <f t="shared" si="178"/>
        <v>0.39886010794125637</v>
      </c>
      <c r="AL94" s="327">
        <f t="shared" ref="AL94:AM94" si="179">AL26/AL25</f>
        <v>0.36296658415873262</v>
      </c>
      <c r="AM94" s="327">
        <f t="shared" si="179"/>
        <v>0.37345467281485345</v>
      </c>
      <c r="AN94" s="327">
        <f t="shared" ref="AN94" si="180">AN26/AN25</f>
        <v>0.38708115407938326</v>
      </c>
      <c r="AO94" s="327">
        <f t="shared" ref="AO94:AP94" si="181">AO26/AO25</f>
        <v>0.40158446166874001</v>
      </c>
      <c r="AP94" s="327">
        <f t="shared" si="181"/>
        <v>0.38753295702698026</v>
      </c>
      <c r="AQ94" s="327">
        <f t="shared" ref="AQ94:AR94" si="182">AQ26/AQ25</f>
        <v>0.39851825895427129</v>
      </c>
      <c r="AR94" s="327">
        <f t="shared" si="182"/>
        <v>0.38539366562825011</v>
      </c>
      <c r="AS94" s="327">
        <f>AS26/AS25</f>
        <v>0.39358020705978347</v>
      </c>
      <c r="AT94" s="327">
        <f t="shared" ref="AT94" si="183">AT26/AT25</f>
        <v>0.38966280901213168</v>
      </c>
      <c r="AU94" s="327">
        <f t="shared" ref="AU94:AV94" si="184">AU26/AU25</f>
        <v>0.39217931313352211</v>
      </c>
      <c r="AV94" s="327">
        <f t="shared" si="184"/>
        <v>0.39870183141638926</v>
      </c>
      <c r="AW94" s="327">
        <f t="shared" ref="AW94:AY94" si="185">AW26/AW25</f>
        <v>0.41129085391226028</v>
      </c>
      <c r="AX94" s="327">
        <f t="shared" si="185"/>
        <v>0.39527664271923357</v>
      </c>
      <c r="AY94" s="327">
        <f t="shared" si="185"/>
        <v>0.40269351648669321</v>
      </c>
      <c r="AZ94" s="327">
        <f t="shared" ref="AZ94:BA94" si="186">AZ26/AZ25</f>
        <v>0.39703376109904198</v>
      </c>
      <c r="BA94" s="327">
        <f t="shared" si="186"/>
        <v>0.38139221355180697</v>
      </c>
      <c r="BB94" s="327">
        <f t="shared" ref="BB94:BC94" si="187">BB26/BB25</f>
        <v>0.36254907331324754</v>
      </c>
      <c r="BC94" s="327">
        <f t="shared" si="187"/>
        <v>0.35731588718946161</v>
      </c>
      <c r="BD94" s="4"/>
      <c r="BE94" s="2"/>
      <c r="BF94" s="3"/>
    </row>
    <row r="95" spans="1:58" s="193" customFormat="1">
      <c r="A95" s="2" t="s">
        <v>544</v>
      </c>
      <c r="B95" s="353"/>
      <c r="C95" s="353"/>
      <c r="D95" s="353"/>
      <c r="E95" s="353"/>
      <c r="F95" s="353">
        <f t="shared" ref="F95:AC95" si="188">F94-B94</f>
        <v>-5.6368657787052551E-2</v>
      </c>
      <c r="G95" s="353">
        <f t="shared" si="188"/>
        <v>-6.0568462771844328E-2</v>
      </c>
      <c r="H95" s="353">
        <f t="shared" si="188"/>
        <v>-7.4137201471998759E-3</v>
      </c>
      <c r="I95" s="353">
        <f t="shared" si="188"/>
        <v>7.9149136831309391E-2</v>
      </c>
      <c r="J95" s="353">
        <f t="shared" si="188"/>
        <v>3.2107506352571591E-2</v>
      </c>
      <c r="K95" s="353">
        <f t="shared" si="188"/>
        <v>3.8573199128984464E-2</v>
      </c>
      <c r="L95" s="353">
        <f t="shared" si="188"/>
        <v>9.3950488427035933E-2</v>
      </c>
      <c r="M95" s="353">
        <f t="shared" si="188"/>
        <v>-6.9641146340670979E-5</v>
      </c>
      <c r="N95" s="353">
        <f t="shared" si="188"/>
        <v>3.0886469850539555E-3</v>
      </c>
      <c r="O95" s="353">
        <f t="shared" si="188"/>
        <v>4.8050963463357882E-2</v>
      </c>
      <c r="P95" s="353">
        <f t="shared" si="188"/>
        <v>-3.5016183493110253E-2</v>
      </c>
      <c r="Q95" s="353">
        <f t="shared" si="188"/>
        <v>-5.1657844537566666E-2</v>
      </c>
      <c r="R95" s="375">
        <f t="shared" si="188"/>
        <v>8.3822018204487064E-2</v>
      </c>
      <c r="S95" s="375">
        <f t="shared" si="188"/>
        <v>7.4378643840310454E-2</v>
      </c>
      <c r="T95" s="402">
        <f t="shared" si="188"/>
        <v>9.1879863248642613E-2</v>
      </c>
      <c r="U95" s="402">
        <f t="shared" si="188"/>
        <v>0.16696043781734618</v>
      </c>
      <c r="V95" s="354">
        <f t="shared" si="188"/>
        <v>4.7296168627411483E-3</v>
      </c>
      <c r="W95" s="354">
        <f t="shared" si="188"/>
        <v>-3.2089701050259156E-2</v>
      </c>
      <c r="X95" s="354">
        <f t="shared" si="188"/>
        <v>-6.042703380796155E-3</v>
      </c>
      <c r="Y95" s="354">
        <f t="shared" si="188"/>
        <v>2.5836748965383627E-2</v>
      </c>
      <c r="Z95" s="354">
        <f t="shared" si="188"/>
        <v>4.6583431313523216E-2</v>
      </c>
      <c r="AA95" s="354">
        <f t="shared" si="188"/>
        <v>6.5921393486711166E-2</v>
      </c>
      <c r="AB95" s="354">
        <f t="shared" si="188"/>
        <v>9.4132239358659386E-2</v>
      </c>
      <c r="AC95" s="354">
        <f t="shared" si="188"/>
        <v>3.8023373829269291E-2</v>
      </c>
      <c r="AD95" s="354">
        <f t="shared" ref="AD95:AN95" si="189">AD94-Z94</f>
        <v>1.3207143478113526E-2</v>
      </c>
      <c r="AE95" s="354">
        <f t="shared" si="189"/>
        <v>-2.7432892192261304E-2</v>
      </c>
      <c r="AF95" s="327">
        <f t="shared" si="189"/>
        <v>-8.3157585972759074E-2</v>
      </c>
      <c r="AG95" s="327">
        <f t="shared" si="189"/>
        <v>-8.4587848967742407E-2</v>
      </c>
      <c r="AH95" s="327">
        <f t="shared" si="189"/>
        <v>-0.10977613565024028</v>
      </c>
      <c r="AI95" s="327">
        <f t="shared" si="189"/>
        <v>-4.0398794731526355E-2</v>
      </c>
      <c r="AJ95" s="327">
        <f t="shared" si="189"/>
        <v>4.8135981975240993E-2</v>
      </c>
      <c r="AK95" s="327">
        <f t="shared" si="189"/>
        <v>7.972494896967286E-2</v>
      </c>
      <c r="AL95" s="327">
        <f t="shared" si="189"/>
        <v>0.12434342746389612</v>
      </c>
      <c r="AM95" s="327">
        <f t="shared" si="189"/>
        <v>9.229473045174108E-2</v>
      </c>
      <c r="AN95" s="327">
        <f t="shared" si="189"/>
        <v>2.1603431415744445E-2</v>
      </c>
      <c r="AO95" s="327">
        <f t="shared" ref="AO95:AS95" si="190">AO94-AK94</f>
        <v>2.7243537274836416E-3</v>
      </c>
      <c r="AP95" s="327">
        <f t="shared" si="190"/>
        <v>2.4566372868247643E-2</v>
      </c>
      <c r="AQ95" s="327">
        <f t="shared" si="190"/>
        <v>2.5063586139417837E-2</v>
      </c>
      <c r="AR95" s="327">
        <f t="shared" si="190"/>
        <v>-1.6874884511331456E-3</v>
      </c>
      <c r="AS95" s="327">
        <f t="shared" si="190"/>
        <v>-8.0042546089565403E-3</v>
      </c>
      <c r="AT95" s="327">
        <f>AT94-AP94</f>
        <v>2.1298519851514208E-3</v>
      </c>
      <c r="AU95" s="327">
        <f>AU94-AQ94</f>
        <v>-6.3389458207491756E-3</v>
      </c>
      <c r="AV95" s="327">
        <f>AV94-AR94</f>
        <v>1.3308165788139148E-2</v>
      </c>
      <c r="AW95" s="461">
        <f>AW94-AS54</f>
        <v>1.9152242811318165E-2</v>
      </c>
      <c r="AX95" s="461">
        <f>AX94-AT54</f>
        <v>7.1283461218732969E-3</v>
      </c>
      <c r="AY95" s="327">
        <f>AY94-AU94</f>
        <v>1.0514203353171103E-2</v>
      </c>
      <c r="AZ95" s="327">
        <f>AZ94-AV94</f>
        <v>-1.6680703173472811E-3</v>
      </c>
      <c r="BA95" s="327">
        <f>BA94-AW94</f>
        <v>-2.989864036045331E-2</v>
      </c>
      <c r="BB95" s="327">
        <f>BB94-AX94</f>
        <v>-3.2727569405986034E-2</v>
      </c>
      <c r="BC95" s="327">
        <f>BC94-AY94</f>
        <v>-4.5377629297231603E-2</v>
      </c>
      <c r="BD95" s="4"/>
      <c r="BE95" s="2"/>
      <c r="BF95" s="3"/>
    </row>
    <row r="96" spans="1:58" s="193" customFormat="1">
      <c r="A96" s="2"/>
      <c r="B96" s="400"/>
      <c r="C96" s="400"/>
      <c r="D96" s="400"/>
      <c r="E96" s="400"/>
      <c r="F96" s="400"/>
      <c r="G96" s="400"/>
      <c r="H96" s="400"/>
      <c r="I96" s="400"/>
      <c r="J96" s="400"/>
      <c r="K96" s="400"/>
      <c r="L96" s="400"/>
      <c r="M96" s="400"/>
      <c r="N96" s="400"/>
      <c r="O96" s="400"/>
      <c r="P96" s="400"/>
      <c r="Q96" s="400"/>
      <c r="R96" s="400"/>
      <c r="S96" s="400"/>
      <c r="T96" s="401"/>
      <c r="U96" s="401"/>
      <c r="V96" s="401"/>
      <c r="W96" s="401"/>
      <c r="X96" s="401"/>
      <c r="Y96" s="401"/>
      <c r="Z96" s="401"/>
      <c r="AA96" s="401"/>
      <c r="AB96" s="401"/>
      <c r="AC96" s="401"/>
      <c r="AD96" s="401"/>
      <c r="AE96" s="401"/>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175"/>
      <c r="BE96" s="2"/>
      <c r="BF96" s="3"/>
    </row>
    <row r="97" spans="1:58" s="193" customFormat="1">
      <c r="A97" s="2" t="s">
        <v>758</v>
      </c>
      <c r="B97" s="375">
        <f>B29/B25</f>
        <v>8.9625360230547554E-2</v>
      </c>
      <c r="C97" s="375">
        <f t="shared" ref="C97:Y97" si="191">C29/C25</f>
        <v>1.050534323492121E-2</v>
      </c>
      <c r="D97" s="375">
        <f t="shared" si="191"/>
        <v>3.8548943691608453E-2</v>
      </c>
      <c r="E97" s="375">
        <f t="shared" si="191"/>
        <v>3.0141523501026508E-2</v>
      </c>
      <c r="F97" s="375">
        <f t="shared" si="191"/>
        <v>1.3945393619205552E-2</v>
      </c>
      <c r="G97" s="375">
        <f t="shared" si="191"/>
        <v>3.2853042492266137E-2</v>
      </c>
      <c r="H97" s="375">
        <f t="shared" si="191"/>
        <v>9.7843926034355527E-3</v>
      </c>
      <c r="I97" s="375">
        <f t="shared" si="191"/>
        <v>2.9006600874911179E-3</v>
      </c>
      <c r="J97" s="375">
        <f t="shared" si="191"/>
        <v>2.0014989905400453E-2</v>
      </c>
      <c r="K97" s="375">
        <f t="shared" si="191"/>
        <v>8.4497759414370009E-3</v>
      </c>
      <c r="L97" s="375">
        <f t="shared" si="191"/>
        <v>1.4967935539672827E-2</v>
      </c>
      <c r="M97" s="375">
        <f t="shared" si="191"/>
        <v>4.2914690382500516E-2</v>
      </c>
      <c r="N97" s="375">
        <f t="shared" si="191"/>
        <v>7.1516208864646161E-3</v>
      </c>
      <c r="O97" s="375">
        <f t="shared" si="191"/>
        <v>1.9265771804177708E-2</v>
      </c>
      <c r="P97" s="375">
        <f t="shared" si="191"/>
        <v>2.2675452274048154E-2</v>
      </c>
      <c r="Q97" s="375">
        <f t="shared" si="191"/>
        <v>2.0839979344915667E-2</v>
      </c>
      <c r="R97" s="400">
        <f t="shared" si="191"/>
        <v>3.2336175934160855E-2</v>
      </c>
      <c r="S97" s="400">
        <f t="shared" si="191"/>
        <v>4.5254267793117871E-2</v>
      </c>
      <c r="T97" s="401">
        <f t="shared" si="191"/>
        <v>8.4409807373108894E-2</v>
      </c>
      <c r="U97" s="401">
        <f t="shared" si="191"/>
        <v>6.7955020488896942E-2</v>
      </c>
      <c r="V97" s="401">
        <f t="shared" si="191"/>
        <v>7.2279113656722002E-2</v>
      </c>
      <c r="W97" s="401">
        <f t="shared" si="191"/>
        <v>5.0529461321603693E-2</v>
      </c>
      <c r="X97" s="401">
        <f t="shared" si="191"/>
        <v>4.5816673417264725E-2</v>
      </c>
      <c r="Y97" s="401">
        <f t="shared" si="191"/>
        <v>8.606700389378584E-2</v>
      </c>
      <c r="Z97" s="401">
        <f t="shared" ref="Z97:AA97" si="192">Z29/Z25</f>
        <v>7.7241858094037025E-2</v>
      </c>
      <c r="AA97" s="401">
        <f t="shared" si="192"/>
        <v>5.4109419701197328E-2</v>
      </c>
      <c r="AB97" s="401">
        <f t="shared" ref="AB97:AC97" si="193">AB29/AB25</f>
        <v>2.8268999064778914E-2</v>
      </c>
      <c r="AC97" s="401">
        <f t="shared" si="193"/>
        <v>0.1489038449043561</v>
      </c>
      <c r="AD97" s="401">
        <f t="shared" ref="AD97:AE97" si="194">AD29/AD25</f>
        <v>4.6638209364859018E-2</v>
      </c>
      <c r="AE97" s="401">
        <f t="shared" si="194"/>
        <v>8.5708877651120924E-2</v>
      </c>
      <c r="AF97" s="356">
        <f t="shared" ref="AF97:AG97" si="195">AF29/AF25</f>
        <v>0.27920625304125102</v>
      </c>
      <c r="AG97" s="356">
        <f t="shared" si="195"/>
        <v>4.6116189898969949E-2</v>
      </c>
      <c r="AH97" s="356">
        <f t="shared" ref="AH97:AI97" si="196">AH29/AH25</f>
        <v>3.6010802937613419E-2</v>
      </c>
      <c r="AI97" s="356">
        <f t="shared" si="196"/>
        <v>7.865033621517771E-2</v>
      </c>
      <c r="AJ97" s="356">
        <f t="shared" ref="AJ97:AK97" si="197">AJ29/AJ25</f>
        <v>0.22991063414520085</v>
      </c>
      <c r="AK97" s="356">
        <f t="shared" si="197"/>
        <v>0.55724580753745079</v>
      </c>
      <c r="AL97" s="356">
        <f t="shared" ref="AL97:AM97" si="198">AL29/AL25</f>
        <v>0.11958743046466967</v>
      </c>
      <c r="AM97" s="356">
        <f t="shared" si="198"/>
        <v>0.15460003578578838</v>
      </c>
      <c r="AN97" s="356">
        <f t="shared" ref="AN97" si="199">AN29/AN25</f>
        <v>0.14423048623479229</v>
      </c>
      <c r="AO97" s="356">
        <f t="shared" ref="AO97:AP97" si="200">AO29/AO25</f>
        <v>0.1892488220731903</v>
      </c>
      <c r="AP97" s="356">
        <f t="shared" si="200"/>
        <v>0.17330791819164187</v>
      </c>
      <c r="AQ97" s="356">
        <f t="shared" ref="AQ97:AR97" si="201">AQ29/AQ25</f>
        <v>0.140715340525117</v>
      </c>
      <c r="AR97" s="356">
        <f t="shared" si="201"/>
        <v>0.20379867334449828</v>
      </c>
      <c r="AS97" s="356">
        <f t="shared" ref="AS97:AT97" si="202">AS29/AS25</f>
        <v>0.20283999490857788</v>
      </c>
      <c r="AT97" s="356">
        <f t="shared" si="202"/>
        <v>0.15715783840317671</v>
      </c>
      <c r="AU97" s="356">
        <f t="shared" ref="AU97:AV97" si="203">AU29/AU25</f>
        <v>0.18849373518438414</v>
      </c>
      <c r="AV97" s="356">
        <f t="shared" si="203"/>
        <v>0.16032873999452465</v>
      </c>
      <c r="AW97" s="356">
        <f t="shared" ref="AW97:AY97" si="204">AW29/AW25</f>
        <v>0.32599812308314052</v>
      </c>
      <c r="AX97" s="356">
        <f t="shared" si="204"/>
        <v>0.1214707967739279</v>
      </c>
      <c r="AY97" s="356">
        <f t="shared" si="204"/>
        <v>0.18792175889953375</v>
      </c>
      <c r="AZ97" s="356">
        <f t="shared" ref="AZ97:BA97" si="205">AZ29/AZ25</f>
        <v>0.16458728223823108</v>
      </c>
      <c r="BA97" s="356">
        <f t="shared" si="205"/>
        <v>0.24869052351782581</v>
      </c>
      <c r="BB97" s="356">
        <f t="shared" ref="BB97:BC97" si="206">BB29/BB25</f>
        <v>0.14937742666343215</v>
      </c>
      <c r="BC97" s="356">
        <f t="shared" si="206"/>
        <v>0.15924633758110429</v>
      </c>
      <c r="BD97" s="175"/>
      <c r="BE97" s="2"/>
      <c r="BF97" s="3"/>
    </row>
    <row r="98" spans="1:58" s="193" customFormat="1">
      <c r="A98" s="2" t="s">
        <v>420</v>
      </c>
      <c r="B98" s="400"/>
      <c r="C98" s="400"/>
      <c r="D98" s="400"/>
      <c r="E98" s="400">
        <f>E30/E25</f>
        <v>0.11533927267889826</v>
      </c>
      <c r="F98" s="400">
        <f t="shared" ref="F98:Y98" si="207">F30/F25</f>
        <v>0.15091553552938072</v>
      </c>
      <c r="G98" s="400">
        <f t="shared" si="207"/>
        <v>0.12130408792552907</v>
      </c>
      <c r="H98" s="400">
        <f t="shared" si="207"/>
        <v>0.15181122989728985</v>
      </c>
      <c r="I98" s="400">
        <f t="shared" si="207"/>
        <v>0.22172927292374303</v>
      </c>
      <c r="J98" s="400">
        <f t="shared" si="207"/>
        <v>0.1769534455957574</v>
      </c>
      <c r="K98" s="400">
        <f t="shared" si="207"/>
        <v>0.18428055360534268</v>
      </c>
      <c r="L98" s="400">
        <f t="shared" si="207"/>
        <v>0.24060287405391323</v>
      </c>
      <c r="M98" s="400">
        <f t="shared" si="207"/>
        <v>0.18164560148239298</v>
      </c>
      <c r="N98" s="400">
        <f t="shared" si="207"/>
        <v>0.19290546159974722</v>
      </c>
      <c r="O98" s="400">
        <f t="shared" si="207"/>
        <v>0.22151552120595988</v>
      </c>
      <c r="P98" s="400">
        <f t="shared" si="207"/>
        <v>0.19785447516060289</v>
      </c>
      <c r="Q98" s="400">
        <f t="shared" si="207"/>
        <v>0.15206246798241116</v>
      </c>
      <c r="R98" s="375">
        <f t="shared" si="207"/>
        <v>0.251542924756538</v>
      </c>
      <c r="S98" s="375">
        <f t="shared" si="207"/>
        <v>0.26990566905733016</v>
      </c>
      <c r="T98" s="402">
        <f t="shared" si="207"/>
        <v>0.22799998331018478</v>
      </c>
      <c r="U98" s="402">
        <f t="shared" si="207"/>
        <v>0.2719078646557761</v>
      </c>
      <c r="V98" s="401">
        <f t="shared" si="207"/>
        <v>0.21632960389671801</v>
      </c>
      <c r="W98" s="401">
        <f t="shared" si="207"/>
        <v>0.23254077447858515</v>
      </c>
      <c r="X98" s="401">
        <f t="shared" si="207"/>
        <v>0.26055041388523276</v>
      </c>
      <c r="Y98" s="401">
        <f t="shared" si="207"/>
        <v>0.27963263021627077</v>
      </c>
      <c r="Z98" s="401">
        <f t="shared" ref="Z98:AA98" si="208">Z30/Z25</f>
        <v>0.25795029077292619</v>
      </c>
      <c r="AA98" s="401">
        <f t="shared" si="208"/>
        <v>0.29488220958570266</v>
      </c>
      <c r="AB98" s="401">
        <f t="shared" ref="AB98:AC98" si="209">AB30/AB25</f>
        <v>0.37223032759637797</v>
      </c>
      <c r="AC98" s="401">
        <f t="shared" si="209"/>
        <v>0.25481916303496982</v>
      </c>
      <c r="AD98" s="401">
        <f t="shared" ref="AD98:AE98" si="210">AD30/AD25</f>
        <v>0.30176108298021775</v>
      </c>
      <c r="AE98" s="401">
        <f t="shared" si="210"/>
        <v>0.23584985944351777</v>
      </c>
      <c r="AF98" s="356">
        <f t="shared" ref="AF98:AG98" si="211">AF30/AF25</f>
        <v>3.8135487647146811E-2</v>
      </c>
      <c r="AG98" s="356">
        <f t="shared" si="211"/>
        <v>0.27301896907261353</v>
      </c>
      <c r="AH98" s="356">
        <f t="shared" ref="AH98:AI98" si="212">AH30/AH25</f>
        <v>0.20261235375722308</v>
      </c>
      <c r="AI98" s="356">
        <f t="shared" si="212"/>
        <v>0.20341018251681076</v>
      </c>
      <c r="AJ98" s="356">
        <f t="shared" ref="AJ98:AK98" si="213">AJ30/AJ25</f>
        <v>0.13556708851843793</v>
      </c>
      <c r="AK98" s="356">
        <f t="shared" si="213"/>
        <v>-0.15838569959619439</v>
      </c>
      <c r="AL98" s="356">
        <f t="shared" ref="AL98:AM98" si="214">AL30/AL25</f>
        <v>0.24337915369406296</v>
      </c>
      <c r="AM98" s="356">
        <f t="shared" si="214"/>
        <v>0.2188546370290651</v>
      </c>
      <c r="AN98" s="356">
        <f t="shared" ref="AN98" si="215">AN30/AN25</f>
        <v>0.24285066784459092</v>
      </c>
      <c r="AO98" s="356">
        <f t="shared" ref="AO98:AP98" si="216">AO30/AO25</f>
        <v>0.21233563959554969</v>
      </c>
      <c r="AP98" s="356">
        <f t="shared" si="216"/>
        <v>0.21422503883533836</v>
      </c>
      <c r="AQ98" s="356">
        <f t="shared" ref="AQ98:AR98" si="217">AQ30/AQ25</f>
        <v>0.25782794783871049</v>
      </c>
      <c r="AR98" s="356">
        <f t="shared" si="217"/>
        <v>0.18159499228375184</v>
      </c>
      <c r="AS98" s="356">
        <f t="shared" ref="AS98:AT98" si="218">AS30/AS25</f>
        <v>0.19074021215120557</v>
      </c>
      <c r="AT98" s="356">
        <f t="shared" si="218"/>
        <v>0.232504970608955</v>
      </c>
      <c r="AU98" s="356">
        <f t="shared" ref="AU98:AV98" si="219">AU30/AU25</f>
        <v>0.203685577949138</v>
      </c>
      <c r="AV98" s="356">
        <f t="shared" si="219"/>
        <v>0.23837309142186461</v>
      </c>
      <c r="AW98" s="356">
        <f t="shared" ref="AW98:AY98" si="220">AW30/AW25</f>
        <v>8.5292730829119742E-2</v>
      </c>
      <c r="AX98" s="356">
        <f t="shared" si="220"/>
        <v>0.27380584594530571</v>
      </c>
      <c r="AY98" s="356">
        <f t="shared" si="220"/>
        <v>0.21477175758715947</v>
      </c>
      <c r="AZ98" s="356">
        <f t="shared" ref="AZ98:BA98" si="221">AZ30/AZ25</f>
        <v>0.23244647886081091</v>
      </c>
      <c r="BA98" s="356">
        <f t="shared" si="221"/>
        <v>0.13270169003398113</v>
      </c>
      <c r="BB98" s="356">
        <f t="shared" ref="BB98:BC98" si="222">BB30/BB25</f>
        <v>0.21317164664981536</v>
      </c>
      <c r="BC98" s="356">
        <f t="shared" si="222"/>
        <v>0.19806954960835729</v>
      </c>
      <c r="BD98" s="175"/>
      <c r="BE98" s="2"/>
      <c r="BF98" s="3"/>
    </row>
    <row r="99" spans="1:58" s="193" customFormat="1">
      <c r="A99" s="2"/>
      <c r="B99" s="400"/>
      <c r="C99" s="400"/>
      <c r="D99" s="400"/>
      <c r="E99" s="400"/>
      <c r="F99" s="400"/>
      <c r="G99" s="400"/>
      <c r="H99" s="400"/>
      <c r="I99" s="400"/>
      <c r="J99" s="400"/>
      <c r="K99" s="400"/>
      <c r="L99" s="400"/>
      <c r="M99" s="400"/>
      <c r="N99" s="400"/>
      <c r="O99" s="400"/>
      <c r="P99" s="400"/>
      <c r="Q99" s="400"/>
      <c r="R99" s="400"/>
      <c r="S99" s="400"/>
      <c r="T99" s="401"/>
      <c r="U99" s="401"/>
      <c r="V99" s="401"/>
      <c r="W99" s="401"/>
      <c r="X99" s="401"/>
      <c r="Y99" s="401"/>
      <c r="Z99" s="401"/>
      <c r="AA99" s="401"/>
      <c r="AB99" s="401"/>
      <c r="AC99" s="401"/>
      <c r="AD99" s="401"/>
      <c r="AE99" s="401"/>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175"/>
      <c r="BE99" s="2"/>
      <c r="BF99" s="3"/>
    </row>
    <row r="100" spans="1:58">
      <c r="A100" s="2" t="s">
        <v>421</v>
      </c>
      <c r="B100" s="321"/>
      <c r="C100" s="321"/>
      <c r="D100" s="321"/>
      <c r="E100" s="321"/>
      <c r="F100" s="321"/>
      <c r="G100" s="321"/>
      <c r="H100" s="321"/>
      <c r="I100" s="353">
        <f>I30/E30-1</f>
        <v>1.2542142037026287</v>
      </c>
      <c r="J100" s="353">
        <f t="shared" ref="J100:AC100" si="223">J30/F30-1</f>
        <v>0.38231578344138462</v>
      </c>
      <c r="K100" s="353">
        <f t="shared" si="223"/>
        <v>0.83440941222127729</v>
      </c>
      <c r="L100" s="353">
        <f t="shared" si="223"/>
        <v>0.80514650875925375</v>
      </c>
      <c r="M100" s="353">
        <f t="shared" si="223"/>
        <v>1.6274301051044437E-2</v>
      </c>
      <c r="N100" s="353">
        <f t="shared" si="223"/>
        <v>0.25127305247932008</v>
      </c>
      <c r="O100" s="353">
        <f t="shared" si="223"/>
        <v>0.21722256700621978</v>
      </c>
      <c r="P100" s="353">
        <f t="shared" si="223"/>
        <v>-0.17858361124296773</v>
      </c>
      <c r="Q100" s="353">
        <f t="shared" si="223"/>
        <v>-8.5837961997912049E-2</v>
      </c>
      <c r="R100" s="375">
        <f t="shared" si="223"/>
        <v>0.96517982770022592</v>
      </c>
      <c r="S100" s="375">
        <f t="shared" si="223"/>
        <v>0.78816164956599422</v>
      </c>
      <c r="T100" s="402">
        <f t="shared" si="223"/>
        <v>0.7126954280465978</v>
      </c>
      <c r="U100" s="402">
        <f t="shared" si="223"/>
        <v>1.3767670689391691</v>
      </c>
      <c r="V100" s="354">
        <f t="shared" si="223"/>
        <v>-5.0961786036057277E-2</v>
      </c>
      <c r="W100" s="354">
        <f t="shared" si="223"/>
        <v>2.7397837005298964E-2</v>
      </c>
      <c r="X100" s="354">
        <f t="shared" si="223"/>
        <v>0.28566705856481533</v>
      </c>
      <c r="Y100" s="354">
        <f t="shared" si="223"/>
        <v>0.11981001267033098</v>
      </c>
      <c r="Z100" s="354">
        <f t="shared" si="223"/>
        <v>0.24040356607183222</v>
      </c>
      <c r="AA100" s="354">
        <f t="shared" si="223"/>
        <v>0.20414700495485372</v>
      </c>
      <c r="AB100" s="354">
        <f t="shared" si="223"/>
        <v>0.53684650061635808</v>
      </c>
      <c r="AC100" s="354">
        <f t="shared" si="223"/>
        <v>1.0562912200673402E-4</v>
      </c>
      <c r="AD100" s="354">
        <f t="shared" ref="AD100:AN100" si="224">AD30/Z30-1</f>
        <v>0.25594273704405945</v>
      </c>
      <c r="AE100" s="354">
        <f t="shared" si="224"/>
        <v>-5.4839698638880718E-2</v>
      </c>
      <c r="AF100" s="327">
        <f t="shared" si="224"/>
        <v>-0.89044705652337675</v>
      </c>
      <c r="AG100" s="327">
        <f t="shared" si="224"/>
        <v>0.13801791269798303</v>
      </c>
      <c r="AH100" s="327">
        <f t="shared" si="224"/>
        <v>-0.28016668858970006</v>
      </c>
      <c r="AI100" s="327">
        <f t="shared" si="224"/>
        <v>-0.14131581517994452</v>
      </c>
      <c r="AJ100" s="327">
        <f t="shared" si="224"/>
        <v>2.790259345778495</v>
      </c>
      <c r="AK100" s="327">
        <f t="shared" si="224"/>
        <v>-1.6520167549077178</v>
      </c>
      <c r="AL100" s="327">
        <f t="shared" si="224"/>
        <v>0.31125173789711913</v>
      </c>
      <c r="AM100" s="327">
        <f t="shared" si="224"/>
        <v>0.15695104916269753</v>
      </c>
      <c r="AN100" s="327">
        <f t="shared" si="224"/>
        <v>0.95540558107050844</v>
      </c>
      <c r="AO100" s="327">
        <f t="shared" ref="AO100:AS100" si="225">AO30/AK30-1</f>
        <v>-2.4700107691496753</v>
      </c>
      <c r="AP100" s="327">
        <f t="shared" si="225"/>
        <v>-4.7555423754752302E-2</v>
      </c>
      <c r="AQ100" s="327">
        <f t="shared" si="225"/>
        <v>0.31398680959397129</v>
      </c>
      <c r="AR100" s="327">
        <f t="shared" si="225"/>
        <v>-0.15221139270028761</v>
      </c>
      <c r="AS100" s="327">
        <f t="shared" si="225"/>
        <v>1.421612180116405E-2</v>
      </c>
      <c r="AT100" s="327">
        <f>AT30/AP30-1</f>
        <v>0.25039384093237849</v>
      </c>
      <c r="AU100" s="327">
        <f>AU30/AQ30-1</f>
        <v>-7.7660172708796882E-2</v>
      </c>
      <c r="AV100" s="327">
        <f>AV30/AR30-1</f>
        <v>0.52752240834971165</v>
      </c>
      <c r="AW100" s="461">
        <f>AW30/AS57-1</f>
        <v>-0.4483851828294908</v>
      </c>
      <c r="AX100" s="461">
        <f>AX30/AT57-1</f>
        <v>0.47691937326748279</v>
      </c>
      <c r="AY100" s="327">
        <f>AY30/AU30-1</f>
        <v>0.1551241332709794</v>
      </c>
      <c r="AZ100" s="327">
        <f>AZ30/AV30-1</f>
        <v>6.0222640079729883E-2</v>
      </c>
      <c r="BA100" s="327">
        <f>BA30/AW30-1</f>
        <v>0.77585476408582954</v>
      </c>
      <c r="BB100" s="327">
        <f>BB30/AX30-1</f>
        <v>-0.15645173710796922</v>
      </c>
      <c r="BC100" s="327">
        <f>BC30/AY30-1</f>
        <v>2.068025632198589E-2</v>
      </c>
      <c r="BD100" s="4"/>
      <c r="BE100" s="2"/>
      <c r="BF100" s="2"/>
    </row>
    <row r="101" spans="1:58" s="193" customFormat="1">
      <c r="A101" s="2"/>
      <c r="B101" s="400"/>
      <c r="C101" s="400"/>
      <c r="D101" s="400"/>
      <c r="E101" s="400"/>
      <c r="F101" s="400"/>
      <c r="G101" s="400"/>
      <c r="H101" s="400"/>
      <c r="I101" s="400"/>
      <c r="J101" s="400"/>
      <c r="K101" s="400"/>
      <c r="L101" s="400"/>
      <c r="M101" s="400"/>
      <c r="N101" s="400"/>
      <c r="O101" s="400"/>
      <c r="P101" s="400"/>
      <c r="Q101" s="400"/>
      <c r="R101" s="400"/>
      <c r="S101" s="400"/>
      <c r="T101" s="401"/>
      <c r="U101" s="401"/>
      <c r="V101" s="401"/>
      <c r="W101" s="401"/>
      <c r="X101" s="401"/>
      <c r="Y101" s="401"/>
      <c r="Z101" s="401"/>
      <c r="AA101" s="401"/>
      <c r="AB101" s="401"/>
      <c r="AC101" s="401"/>
      <c r="AD101" s="401"/>
      <c r="AE101" s="401"/>
      <c r="AF101" s="356"/>
      <c r="AG101" s="356"/>
      <c r="AH101" s="356"/>
      <c r="AI101" s="356"/>
      <c r="AJ101" s="356"/>
      <c r="AK101" s="356"/>
      <c r="AL101" s="356"/>
      <c r="AM101" s="356"/>
      <c r="AN101" s="356"/>
      <c r="AO101" s="356"/>
      <c r="AP101" s="356"/>
      <c r="AQ101" s="356"/>
      <c r="AR101" s="356"/>
      <c r="AS101" s="356"/>
      <c r="AT101" s="356"/>
      <c r="AU101" s="356"/>
      <c r="AV101" s="356"/>
      <c r="AW101" s="356"/>
      <c r="AX101" s="356"/>
      <c r="AY101" s="356"/>
      <c r="AZ101" s="356"/>
      <c r="BA101" s="356"/>
      <c r="BB101" s="356"/>
      <c r="BC101" s="356"/>
      <c r="BD101" s="175"/>
      <c r="BE101" s="2"/>
      <c r="BF101" s="3"/>
    </row>
    <row r="102" spans="1:58" s="27" customFormat="1">
      <c r="A102" s="510" t="s">
        <v>422</v>
      </c>
      <c r="B102" s="530" t="str">
        <f>B$1</f>
        <v>Q1 12</v>
      </c>
      <c r="C102" s="530" t="str">
        <f t="shared" ref="C102:BC102" si="226">C$1</f>
        <v>Q2 12</v>
      </c>
      <c r="D102" s="530" t="str">
        <f t="shared" si="226"/>
        <v>Q3 12</v>
      </c>
      <c r="E102" s="530" t="str">
        <f t="shared" si="226"/>
        <v>4Q12</v>
      </c>
      <c r="F102" s="530" t="str">
        <f t="shared" si="226"/>
        <v>1Q13</v>
      </c>
      <c r="G102" s="530" t="str">
        <f t="shared" si="226"/>
        <v>2Q13</v>
      </c>
      <c r="H102" s="530" t="str">
        <f t="shared" si="226"/>
        <v>3Q13</v>
      </c>
      <c r="I102" s="530" t="str">
        <f t="shared" si="226"/>
        <v>4Q13</v>
      </c>
      <c r="J102" s="530" t="str">
        <f t="shared" si="226"/>
        <v>1Q14</v>
      </c>
      <c r="K102" s="530" t="str">
        <f t="shared" si="226"/>
        <v>2Q14</v>
      </c>
      <c r="L102" s="530" t="str">
        <f t="shared" si="226"/>
        <v>3Q14</v>
      </c>
      <c r="M102" s="530" t="str">
        <f t="shared" si="226"/>
        <v>4Q14</v>
      </c>
      <c r="N102" s="530" t="str">
        <f t="shared" si="226"/>
        <v>1Q15</v>
      </c>
      <c r="O102" s="530" t="str">
        <f t="shared" si="226"/>
        <v>2Q15</v>
      </c>
      <c r="P102" s="530" t="str">
        <f t="shared" si="226"/>
        <v>3Q15</v>
      </c>
      <c r="Q102" s="530" t="str">
        <f t="shared" si="226"/>
        <v>4Q15</v>
      </c>
      <c r="R102" s="530" t="str">
        <f t="shared" si="226"/>
        <v>1Q16</v>
      </c>
      <c r="S102" s="530" t="str">
        <f t="shared" si="226"/>
        <v>2Q16</v>
      </c>
      <c r="T102" s="530" t="str">
        <f t="shared" si="226"/>
        <v>3Q16</v>
      </c>
      <c r="U102" s="530" t="str">
        <f t="shared" si="226"/>
        <v>4Q16</v>
      </c>
      <c r="V102" s="530" t="str">
        <f t="shared" si="226"/>
        <v>1Q17</v>
      </c>
      <c r="W102" s="530" t="str">
        <f t="shared" si="226"/>
        <v>2Q17</v>
      </c>
      <c r="X102" s="530" t="str">
        <f t="shared" si="226"/>
        <v>3Q17</v>
      </c>
      <c r="Y102" s="530" t="str">
        <f t="shared" si="226"/>
        <v>4Q17</v>
      </c>
      <c r="Z102" s="530" t="str">
        <f t="shared" si="226"/>
        <v>1Q18</v>
      </c>
      <c r="AA102" s="530" t="str">
        <f t="shared" si="226"/>
        <v>2Q18</v>
      </c>
      <c r="AB102" s="530" t="str">
        <f t="shared" si="226"/>
        <v>3Q18</v>
      </c>
      <c r="AC102" s="530" t="str">
        <f t="shared" si="226"/>
        <v>4Q18</v>
      </c>
      <c r="AD102" s="530" t="str">
        <f t="shared" si="226"/>
        <v>1Q19</v>
      </c>
      <c r="AE102" s="530" t="str">
        <f t="shared" si="226"/>
        <v>2Q19</v>
      </c>
      <c r="AF102" s="530" t="str">
        <f t="shared" si="226"/>
        <v>3Q19</v>
      </c>
      <c r="AG102" s="530" t="str">
        <f t="shared" si="226"/>
        <v>4Q19</v>
      </c>
      <c r="AH102" s="530" t="str">
        <f t="shared" si="226"/>
        <v>1Q20</v>
      </c>
      <c r="AI102" s="530" t="str">
        <f t="shared" si="226"/>
        <v>2Q20</v>
      </c>
      <c r="AJ102" s="530" t="str">
        <f t="shared" si="226"/>
        <v>3Q20</v>
      </c>
      <c r="AK102" s="530" t="str">
        <f t="shared" si="226"/>
        <v>4Q20</v>
      </c>
      <c r="AL102" s="530" t="str">
        <f t="shared" si="226"/>
        <v>1Q21</v>
      </c>
      <c r="AM102" s="530" t="str">
        <f t="shared" si="226"/>
        <v>2Q21</v>
      </c>
      <c r="AN102" s="530" t="str">
        <f t="shared" si="226"/>
        <v>3Q21</v>
      </c>
      <c r="AO102" s="530" t="str">
        <f t="shared" si="226"/>
        <v>4Q21</v>
      </c>
      <c r="AP102" s="530" t="str">
        <f t="shared" si="226"/>
        <v>1Q22</v>
      </c>
      <c r="AQ102" s="530" t="str">
        <f t="shared" si="226"/>
        <v>2Q22</v>
      </c>
      <c r="AR102" s="530" t="str">
        <f t="shared" si="226"/>
        <v>3Q22</v>
      </c>
      <c r="AS102" s="530" t="str">
        <f t="shared" si="226"/>
        <v>4Q22</v>
      </c>
      <c r="AT102" s="530" t="str">
        <f t="shared" si="226"/>
        <v>1Q23</v>
      </c>
      <c r="AU102" s="530" t="str">
        <f t="shared" si="226"/>
        <v>2Q23</v>
      </c>
      <c r="AV102" s="530" t="str">
        <f t="shared" si="226"/>
        <v>3Q23</v>
      </c>
      <c r="AW102" s="530" t="str">
        <f t="shared" si="226"/>
        <v>4Q23</v>
      </c>
      <c r="AX102" s="530" t="str">
        <f t="shared" si="226"/>
        <v>1Q24</v>
      </c>
      <c r="AY102" s="530" t="str">
        <f t="shared" si="226"/>
        <v>2Q24</v>
      </c>
      <c r="AZ102" s="530" t="str">
        <f t="shared" si="226"/>
        <v>3Q24</v>
      </c>
      <c r="BA102" s="530" t="str">
        <f t="shared" si="226"/>
        <v>4Q24</v>
      </c>
      <c r="BB102" s="530" t="str">
        <f t="shared" si="226"/>
        <v>1Q25</v>
      </c>
      <c r="BC102" s="530" t="str">
        <f t="shared" si="226"/>
        <v>2Q25</v>
      </c>
      <c r="BD102" s="527"/>
      <c r="BE102" s="510"/>
      <c r="BF102" s="176"/>
    </row>
    <row r="103" spans="1:58" s="193" customFormat="1">
      <c r="A103" s="2"/>
      <c r="B103" s="400"/>
      <c r="C103" s="400"/>
      <c r="D103" s="400"/>
      <c r="E103" s="400"/>
      <c r="F103" s="400"/>
      <c r="G103" s="400"/>
      <c r="H103" s="400"/>
      <c r="I103" s="400"/>
      <c r="J103" s="400"/>
      <c r="K103" s="400"/>
      <c r="L103" s="400"/>
      <c r="M103" s="400"/>
      <c r="N103" s="400"/>
      <c r="O103" s="400"/>
      <c r="P103" s="400"/>
      <c r="Q103" s="400"/>
      <c r="R103" s="400"/>
      <c r="S103" s="400"/>
      <c r="T103" s="401"/>
      <c r="U103" s="401"/>
      <c r="V103" s="401"/>
      <c r="W103" s="401"/>
      <c r="X103" s="401"/>
      <c r="Y103" s="401"/>
      <c r="Z103" s="401"/>
      <c r="AA103" s="401"/>
      <c r="AB103" s="401"/>
      <c r="AC103" s="401"/>
      <c r="AD103" s="401"/>
      <c r="AE103" s="401"/>
      <c r="AF103" s="356"/>
      <c r="AG103" s="356"/>
      <c r="AH103" s="356"/>
      <c r="AI103" s="356"/>
      <c r="AJ103" s="356"/>
      <c r="AK103" s="356"/>
      <c r="AL103" s="356"/>
      <c r="AM103" s="356"/>
      <c r="AN103" s="356"/>
      <c r="AO103" s="356"/>
      <c r="AP103" s="356"/>
      <c r="AQ103" s="356"/>
      <c r="AR103" s="356"/>
      <c r="AS103" s="356"/>
      <c r="AT103" s="356"/>
      <c r="AU103" s="356"/>
      <c r="AV103" s="356"/>
      <c r="AW103" s="356"/>
      <c r="AX103" s="356"/>
      <c r="AY103" s="356"/>
      <c r="AZ103" s="356"/>
      <c r="BA103" s="356"/>
      <c r="BB103" s="356"/>
      <c r="BC103" s="356"/>
      <c r="BD103" s="175"/>
      <c r="BE103" s="2" t="s">
        <v>618</v>
      </c>
      <c r="BF103" s="3"/>
    </row>
    <row r="104" spans="1:58" s="193" customFormat="1">
      <c r="A104" s="2" t="s">
        <v>68</v>
      </c>
      <c r="B104" s="353"/>
      <c r="C104" s="353"/>
      <c r="D104" s="353"/>
      <c r="E104" s="353"/>
      <c r="F104" s="353">
        <f t="shared" ref="F104:AC104" si="227">F34/B34-1</f>
        <v>-0.55636042374752936</v>
      </c>
      <c r="G104" s="353">
        <f t="shared" si="227"/>
        <v>-0.54817578857611715</v>
      </c>
      <c r="H104" s="353">
        <f t="shared" si="227"/>
        <v>-0.5463031695191245</v>
      </c>
      <c r="I104" s="353">
        <f t="shared" si="227"/>
        <v>0.12428122337431047</v>
      </c>
      <c r="J104" s="353">
        <f t="shared" si="227"/>
        <v>0.27046134106814623</v>
      </c>
      <c r="K104" s="353">
        <f t="shared" si="227"/>
        <v>0.17358335561295868</v>
      </c>
      <c r="L104" s="353">
        <f t="shared" si="227"/>
        <v>0.13780874805691767</v>
      </c>
      <c r="M104" s="353">
        <f t="shared" si="227"/>
        <v>0.14371908182744852</v>
      </c>
      <c r="N104" s="353">
        <f t="shared" si="227"/>
        <v>3.8635115199540326E-2</v>
      </c>
      <c r="O104" s="353">
        <f t="shared" si="227"/>
        <v>9.0615445545888074E-2</v>
      </c>
      <c r="P104" s="353">
        <f t="shared" si="227"/>
        <v>8.7352761276389135E-2</v>
      </c>
      <c r="Q104" s="353">
        <f t="shared" si="227"/>
        <v>3.5015746864541786E-2</v>
      </c>
      <c r="R104" s="353">
        <f t="shared" si="227"/>
        <v>4.6400709458151335E-2</v>
      </c>
      <c r="S104" s="353">
        <f t="shared" si="227"/>
        <v>1.194564401520859E-2</v>
      </c>
      <c r="T104" s="354">
        <f t="shared" si="227"/>
        <v>2.0967997474863109E-2</v>
      </c>
      <c r="U104" s="354">
        <f t="shared" si="227"/>
        <v>4.6621801540083441E-2</v>
      </c>
      <c r="V104" s="354">
        <f t="shared" si="227"/>
        <v>4.3788496946107092E-2</v>
      </c>
      <c r="W104" s="354">
        <f t="shared" si="227"/>
        <v>7.580880198171247E-2</v>
      </c>
      <c r="X104" s="354">
        <f t="shared" si="227"/>
        <v>9.3927131370591832E-2</v>
      </c>
      <c r="Y104" s="354">
        <f t="shared" si="227"/>
        <v>0.13212482743157894</v>
      </c>
      <c r="Z104" s="354">
        <f t="shared" si="227"/>
        <v>9.7901682221177344E-2</v>
      </c>
      <c r="AA104" s="354">
        <f t="shared" si="227"/>
        <v>0.11031091450472763</v>
      </c>
      <c r="AB104" s="354">
        <f t="shared" si="227"/>
        <v>0.10838670000134853</v>
      </c>
      <c r="AC104" s="354">
        <f t="shared" si="227"/>
        <v>4.5051563724461063E-2</v>
      </c>
      <c r="AD104" s="354">
        <f t="shared" ref="AD104:AM104" si="228">AD34/Z34-1</f>
        <v>6.052564084629819E-2</v>
      </c>
      <c r="AE104" s="354">
        <f t="shared" si="228"/>
        <v>3.5671499187383215E-2</v>
      </c>
      <c r="AF104" s="327">
        <f t="shared" si="228"/>
        <v>2.2156067950844349E-2</v>
      </c>
      <c r="AG104" s="327">
        <f t="shared" si="228"/>
        <v>-2.0122258014765304E-3</v>
      </c>
      <c r="AH104" s="327">
        <f t="shared" si="228"/>
        <v>1.8421487943548254E-2</v>
      </c>
      <c r="AI104" s="327">
        <f t="shared" si="228"/>
        <v>-3.089751522713402E-2</v>
      </c>
      <c r="AJ104" s="327">
        <f t="shared" si="228"/>
        <v>-3.8276696631966867E-2</v>
      </c>
      <c r="AK104" s="327">
        <f t="shared" si="228"/>
        <v>7.208415434066362E-3</v>
      </c>
      <c r="AL104" s="327">
        <f t="shared" si="228"/>
        <v>-4.8717108778983165E-2</v>
      </c>
      <c r="AM104" s="327">
        <f t="shared" si="228"/>
        <v>5.9329490764063797E-2</v>
      </c>
      <c r="AN104" s="327"/>
      <c r="AO104" s="327"/>
      <c r="AP104" s="327"/>
      <c r="AQ104" s="327"/>
      <c r="AR104" s="327"/>
      <c r="AS104" s="327"/>
      <c r="AT104" s="327"/>
      <c r="AU104" s="327"/>
      <c r="AV104" s="327"/>
      <c r="AW104" s="327"/>
      <c r="AX104" s="327"/>
      <c r="AY104" s="327"/>
      <c r="AZ104" s="327"/>
      <c r="BA104" s="327"/>
      <c r="BB104" s="327"/>
      <c r="BC104" s="327"/>
      <c r="BD104" s="4"/>
      <c r="BE104" s="2"/>
      <c r="BF104" s="3"/>
    </row>
    <row r="105" spans="1:58" s="193" customFormat="1">
      <c r="A105" s="2"/>
      <c r="B105" s="353"/>
      <c r="C105" s="353"/>
      <c r="D105" s="353"/>
      <c r="E105" s="353"/>
      <c r="F105" s="353"/>
      <c r="G105" s="353"/>
      <c r="H105" s="353"/>
      <c r="I105" s="353"/>
      <c r="J105" s="353"/>
      <c r="K105" s="353"/>
      <c r="L105" s="353"/>
      <c r="M105" s="353"/>
      <c r="N105" s="353"/>
      <c r="O105" s="353"/>
      <c r="P105" s="353"/>
      <c r="Q105" s="353"/>
      <c r="R105" s="353"/>
      <c r="S105" s="353"/>
      <c r="T105" s="354"/>
      <c r="U105" s="354"/>
      <c r="V105" s="354"/>
      <c r="W105" s="354"/>
      <c r="X105" s="354"/>
      <c r="Y105" s="354"/>
      <c r="Z105" s="354"/>
      <c r="AA105" s="354"/>
      <c r="AB105" s="354"/>
      <c r="AC105" s="354"/>
      <c r="AD105" s="354"/>
      <c r="AE105" s="354"/>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4"/>
      <c r="BE105" s="2"/>
      <c r="BF105" s="3"/>
    </row>
    <row r="106" spans="1:58" s="193" customFormat="1">
      <c r="A106" s="2" t="s">
        <v>71</v>
      </c>
      <c r="B106" s="353"/>
      <c r="C106" s="353"/>
      <c r="D106" s="353"/>
      <c r="E106" s="353"/>
      <c r="F106" s="353">
        <f t="shared" ref="F106:AC106" si="229">F35/B35-1</f>
        <v>-0.5700840694164242</v>
      </c>
      <c r="G106" s="353">
        <f t="shared" si="229"/>
        <v>-0.54816610962480317</v>
      </c>
      <c r="H106" s="353">
        <f t="shared" si="229"/>
        <v>-0.5499925058682773</v>
      </c>
      <c r="I106" s="353">
        <f t="shared" si="229"/>
        <v>0.11646166252270862</v>
      </c>
      <c r="J106" s="353">
        <f t="shared" si="229"/>
        <v>0.55664671476207261</v>
      </c>
      <c r="K106" s="353">
        <f t="shared" si="229"/>
        <v>0.3476615968328709</v>
      </c>
      <c r="L106" s="353">
        <f t="shared" si="229"/>
        <v>0.30355603883931215</v>
      </c>
      <c r="M106" s="353">
        <f t="shared" si="229"/>
        <v>0.44663884368779683</v>
      </c>
      <c r="N106" s="353">
        <f t="shared" si="229"/>
        <v>5.7007914196266496E-2</v>
      </c>
      <c r="O106" s="353">
        <f t="shared" si="229"/>
        <v>0.17246928944319317</v>
      </c>
      <c r="P106" s="353">
        <f t="shared" si="229"/>
        <v>0.22566820150279709</v>
      </c>
      <c r="Q106" s="353">
        <f t="shared" si="229"/>
        <v>6.7088858343882896E-2</v>
      </c>
      <c r="R106" s="353">
        <f t="shared" si="229"/>
        <v>0.11825086838273235</v>
      </c>
      <c r="S106" s="353">
        <f t="shared" si="229"/>
        <v>-1.1542057459440702E-2</v>
      </c>
      <c r="T106" s="354">
        <f t="shared" si="229"/>
        <v>6.1545789655810257E-3</v>
      </c>
      <c r="U106" s="354">
        <f t="shared" si="229"/>
        <v>4.7728607018946212E-2</v>
      </c>
      <c r="V106" s="354">
        <f t="shared" si="229"/>
        <v>6.9157312834944307E-3</v>
      </c>
      <c r="W106" s="354">
        <f t="shared" si="229"/>
        <v>0.13106920369164921</v>
      </c>
      <c r="X106" s="354">
        <f t="shared" si="229"/>
        <v>0.1063104038076812</v>
      </c>
      <c r="Y106" s="354">
        <f t="shared" si="229"/>
        <v>0.12055630283216301</v>
      </c>
      <c r="Z106" s="354">
        <f t="shared" si="229"/>
        <v>0.16327199239447676</v>
      </c>
      <c r="AA106" s="354">
        <f t="shared" si="229"/>
        <v>0.14418026044517052</v>
      </c>
      <c r="AB106" s="354">
        <f t="shared" si="229"/>
        <v>0.14086810208521205</v>
      </c>
      <c r="AC106" s="354">
        <f t="shared" si="229"/>
        <v>2.5323391891667546E-2</v>
      </c>
      <c r="AD106" s="354">
        <f t="shared" ref="AD106:AM106" si="230">AD35/Z35-1</f>
        <v>-1.7563589234842247E-2</v>
      </c>
      <c r="AE106" s="354">
        <f t="shared" si="230"/>
        <v>-1.9910099876999654E-2</v>
      </c>
      <c r="AF106" s="327">
        <f t="shared" si="230"/>
        <v>2.3038867344976399E-2</v>
      </c>
      <c r="AG106" s="327">
        <f t="shared" si="230"/>
        <v>2.810211650489558E-3</v>
      </c>
      <c r="AH106" s="327">
        <f t="shared" si="230"/>
        <v>0.28669260329190194</v>
      </c>
      <c r="AI106" s="327">
        <f t="shared" si="230"/>
        <v>0.16313350398869719</v>
      </c>
      <c r="AJ106" s="327">
        <f t="shared" si="230"/>
        <v>3.2029325236385464E-2</v>
      </c>
      <c r="AK106" s="327">
        <f t="shared" si="230"/>
        <v>0.10586796626734962</v>
      </c>
      <c r="AL106" s="327">
        <f t="shared" si="230"/>
        <v>-0.1305855288461133</v>
      </c>
      <c r="AM106" s="327">
        <f t="shared" si="230"/>
        <v>2.7075545964609926E-3</v>
      </c>
      <c r="AN106" s="327"/>
      <c r="AO106" s="327"/>
      <c r="AP106" s="327"/>
      <c r="AQ106" s="327"/>
      <c r="AR106" s="327"/>
      <c r="AS106" s="327"/>
      <c r="AT106" s="327"/>
      <c r="AU106" s="327"/>
      <c r="AV106" s="327"/>
      <c r="AW106" s="327"/>
      <c r="AX106" s="327"/>
      <c r="AY106" s="327"/>
      <c r="AZ106" s="327"/>
      <c r="BA106" s="327"/>
      <c r="BB106" s="327"/>
      <c r="BC106" s="327"/>
      <c r="BD106" s="4"/>
      <c r="BE106" s="2"/>
      <c r="BF106" s="3"/>
    </row>
    <row r="107" spans="1:58" s="193" customFormat="1">
      <c r="A107" s="2" t="s">
        <v>74</v>
      </c>
      <c r="B107" s="353">
        <f t="shared" ref="B107:Y107" si="231">B35/B34</f>
        <v>0.37708086265208418</v>
      </c>
      <c r="C107" s="353">
        <f t="shared" si="231"/>
        <v>0.37456871160481359</v>
      </c>
      <c r="D107" s="353">
        <f t="shared" si="231"/>
        <v>0.37346779813881031</v>
      </c>
      <c r="E107" s="353">
        <f t="shared" si="231"/>
        <v>0.38648723279201125</v>
      </c>
      <c r="F107" s="353">
        <f t="shared" si="231"/>
        <v>0.36541615908512065</v>
      </c>
      <c r="G107" s="353">
        <f t="shared" si="231"/>
        <v>0.37457673559341731</v>
      </c>
      <c r="H107" s="353">
        <f t="shared" si="231"/>
        <v>0.37043086195071478</v>
      </c>
      <c r="I107" s="353">
        <f t="shared" si="231"/>
        <v>0.3837991505112151</v>
      </c>
      <c r="J107" s="353">
        <f t="shared" si="231"/>
        <v>0.44773016318826875</v>
      </c>
      <c r="K107" s="353">
        <f t="shared" si="231"/>
        <v>0.43013790133604279</v>
      </c>
      <c r="L107" s="353">
        <f t="shared" si="231"/>
        <v>0.4243924015287589</v>
      </c>
      <c r="M107" s="353">
        <f t="shared" si="231"/>
        <v>0.48545028943363217</v>
      </c>
      <c r="N107" s="353">
        <f t="shared" si="231"/>
        <v>0.45565022690713225</v>
      </c>
      <c r="O107" s="353">
        <f t="shared" si="231"/>
        <v>0.4624209950461744</v>
      </c>
      <c r="P107" s="353">
        <f t="shared" si="231"/>
        <v>0.47837674215551901</v>
      </c>
      <c r="Q107" s="353">
        <f t="shared" si="231"/>
        <v>0.50049344341254542</v>
      </c>
      <c r="R107" s="353">
        <f t="shared" si="231"/>
        <v>0.48693703789778181</v>
      </c>
      <c r="S107" s="353">
        <f t="shared" si="231"/>
        <v>0.4516880012816481</v>
      </c>
      <c r="T107" s="354">
        <f t="shared" si="231"/>
        <v>0.47143588318228646</v>
      </c>
      <c r="U107" s="354">
        <f t="shared" si="231"/>
        <v>0.50102271662708076</v>
      </c>
      <c r="V107" s="354">
        <f t="shared" si="231"/>
        <v>0.46973554991110333</v>
      </c>
      <c r="W107" s="354">
        <f t="shared" si="231"/>
        <v>0.47488957794880626</v>
      </c>
      <c r="X107" s="354">
        <f t="shared" si="231"/>
        <v>0.47677254483976972</v>
      </c>
      <c r="Y107" s="354">
        <f t="shared" si="231"/>
        <v>0.49590305713218563</v>
      </c>
      <c r="Z107" s="354">
        <f t="shared" ref="Z107:AA107" si="232">Z35/Z34</f>
        <v>0.4977041368022273</v>
      </c>
      <c r="AA107" s="354">
        <f t="shared" si="232"/>
        <v>0.48937579004394149</v>
      </c>
      <c r="AB107" s="354">
        <f t="shared" ref="AB107:AC107" si="233">AB35/AB34</f>
        <v>0.49074442011711528</v>
      </c>
      <c r="AC107" s="354">
        <f t="shared" si="233"/>
        <v>0.48654154707554809</v>
      </c>
      <c r="AD107" s="354">
        <f t="shared" ref="AD107:AE107" si="234">AD35/AD34</f>
        <v>0.46105690136144151</v>
      </c>
      <c r="AE107" s="354">
        <f t="shared" si="234"/>
        <v>0.46311235711624182</v>
      </c>
      <c r="AF107" s="327">
        <f t="shared" ref="AF107:AG107" si="235">AF35/AF34</f>
        <v>0.4911682584039842</v>
      </c>
      <c r="AG107" s="327">
        <f t="shared" si="235"/>
        <v>0.48889259409156888</v>
      </c>
      <c r="AH107" s="327">
        <f t="shared" ref="AH107:AI107" si="236">AH35/AH34</f>
        <v>0.58250784346307349</v>
      </c>
      <c r="AI107" s="327">
        <f t="shared" si="236"/>
        <v>0.55583543240973976</v>
      </c>
      <c r="AJ107" s="327">
        <f t="shared" ref="AJ107:AK107" si="237">AJ35/AJ34</f>
        <v>0.52707472567524294</v>
      </c>
      <c r="AK107" s="327">
        <f t="shared" si="237"/>
        <v>0.53678131602803714</v>
      </c>
      <c r="AL107" s="327">
        <f t="shared" ref="AL107:AM107" si="238">AL35/AL34</f>
        <v>0.53237659726792552</v>
      </c>
      <c r="AM107" s="327">
        <f t="shared" si="238"/>
        <v>0.52612562196077728</v>
      </c>
      <c r="AN107" s="327"/>
      <c r="AO107" s="327"/>
      <c r="AP107" s="327"/>
      <c r="AQ107" s="327"/>
      <c r="AR107" s="327"/>
      <c r="AS107" s="327"/>
      <c r="AT107" s="327"/>
      <c r="AU107" s="327"/>
      <c r="AV107" s="327"/>
      <c r="AW107" s="327"/>
      <c r="AX107" s="327"/>
      <c r="AY107" s="327"/>
      <c r="AZ107" s="327"/>
      <c r="BA107" s="327"/>
      <c r="BB107" s="327"/>
      <c r="BC107" s="327"/>
      <c r="BD107" s="4"/>
      <c r="BE107" s="2"/>
      <c r="BF107" s="3"/>
    </row>
    <row r="108" spans="1:58" s="193" customFormat="1">
      <c r="A108" s="2" t="s">
        <v>77</v>
      </c>
      <c r="B108" s="353"/>
      <c r="C108" s="353"/>
      <c r="D108" s="353"/>
      <c r="E108" s="353"/>
      <c r="F108" s="353">
        <f t="shared" ref="F108:AC108" si="239">F107-B107</f>
        <v>-1.166470356696353E-2</v>
      </c>
      <c r="G108" s="353">
        <f t="shared" si="239"/>
        <v>8.0239886037225538E-6</v>
      </c>
      <c r="H108" s="353">
        <f t="shared" si="239"/>
        <v>-3.0369361880955292E-3</v>
      </c>
      <c r="I108" s="353">
        <f t="shared" si="239"/>
        <v>-2.6880822807961446E-3</v>
      </c>
      <c r="J108" s="353">
        <f t="shared" si="239"/>
        <v>8.2314004103148097E-2</v>
      </c>
      <c r="K108" s="353">
        <f t="shared" si="239"/>
        <v>5.5561165742625485E-2</v>
      </c>
      <c r="L108" s="353">
        <f t="shared" si="239"/>
        <v>5.3961539578044115E-2</v>
      </c>
      <c r="M108" s="353">
        <f t="shared" si="239"/>
        <v>0.10165113892241706</v>
      </c>
      <c r="N108" s="353">
        <f t="shared" si="239"/>
        <v>7.9200637188635015E-3</v>
      </c>
      <c r="O108" s="353">
        <f t="shared" si="239"/>
        <v>3.2283093710131605E-2</v>
      </c>
      <c r="P108" s="353">
        <f t="shared" si="239"/>
        <v>5.3984340626760108E-2</v>
      </c>
      <c r="Q108" s="353">
        <f t="shared" si="239"/>
        <v>1.504315397891326E-2</v>
      </c>
      <c r="R108" s="353">
        <f t="shared" si="239"/>
        <v>3.1286810990649561E-2</v>
      </c>
      <c r="S108" s="353">
        <f t="shared" si="239"/>
        <v>-1.07329937645263E-2</v>
      </c>
      <c r="T108" s="354">
        <f t="shared" si="239"/>
        <v>-6.9408589732325443E-3</v>
      </c>
      <c r="U108" s="354">
        <f t="shared" si="239"/>
        <v>5.2927321453533072E-4</v>
      </c>
      <c r="V108" s="354">
        <f t="shared" si="239"/>
        <v>-1.7201487986678476E-2</v>
      </c>
      <c r="W108" s="354">
        <f t="shared" si="239"/>
        <v>2.3201576667158164E-2</v>
      </c>
      <c r="X108" s="354">
        <f t="shared" si="239"/>
        <v>5.3366616574832548E-3</v>
      </c>
      <c r="Y108" s="354">
        <f t="shared" si="239"/>
        <v>-5.1196594948951235E-3</v>
      </c>
      <c r="Z108" s="354">
        <f t="shared" si="239"/>
        <v>2.796858689112397E-2</v>
      </c>
      <c r="AA108" s="354">
        <f t="shared" si="239"/>
        <v>1.4486212095135231E-2</v>
      </c>
      <c r="AB108" s="354">
        <f t="shared" si="239"/>
        <v>1.3971875277345558E-2</v>
      </c>
      <c r="AC108" s="354">
        <f t="shared" si="239"/>
        <v>-9.3615100566375453E-3</v>
      </c>
      <c r="AD108" s="354">
        <f t="shared" ref="AD108:AM108" si="240">AD107-Z107</f>
        <v>-3.6647235440785797E-2</v>
      </c>
      <c r="AE108" s="354">
        <f t="shared" si="240"/>
        <v>-2.626343292769967E-2</v>
      </c>
      <c r="AF108" s="327">
        <f t="shared" si="240"/>
        <v>4.2383828686892722E-4</v>
      </c>
      <c r="AG108" s="327">
        <f t="shared" si="240"/>
        <v>2.3510470160207908E-3</v>
      </c>
      <c r="AH108" s="327">
        <f t="shared" si="240"/>
        <v>0.12145094210163199</v>
      </c>
      <c r="AI108" s="327">
        <f t="shared" si="240"/>
        <v>9.2723075293497936E-2</v>
      </c>
      <c r="AJ108" s="327">
        <f t="shared" si="240"/>
        <v>3.5906467271258735E-2</v>
      </c>
      <c r="AK108" s="327">
        <f t="shared" si="240"/>
        <v>4.7888721936468259E-2</v>
      </c>
      <c r="AL108" s="327">
        <f t="shared" si="240"/>
        <v>-5.0131246195147972E-2</v>
      </c>
      <c r="AM108" s="327">
        <f t="shared" si="240"/>
        <v>-2.9709810448962481E-2</v>
      </c>
      <c r="AN108" s="327"/>
      <c r="AO108" s="327"/>
      <c r="AP108" s="327"/>
      <c r="AQ108" s="327"/>
      <c r="AR108" s="327"/>
      <c r="AS108" s="327"/>
      <c r="AT108" s="327"/>
      <c r="AU108" s="327"/>
      <c r="AV108" s="327"/>
      <c r="AW108" s="327"/>
      <c r="AX108" s="327"/>
      <c r="AY108" s="327"/>
      <c r="AZ108" s="327"/>
      <c r="BA108" s="327"/>
      <c r="BB108" s="327"/>
      <c r="BC108" s="327"/>
      <c r="BD108" s="4"/>
      <c r="BE108" s="2"/>
      <c r="BF108" s="3"/>
    </row>
    <row r="109" spans="1:58" s="193" customFormat="1">
      <c r="A109" s="2"/>
      <c r="B109" s="353"/>
      <c r="C109" s="353"/>
      <c r="D109" s="353"/>
      <c r="E109" s="353"/>
      <c r="F109" s="353"/>
      <c r="G109" s="353"/>
      <c r="H109" s="353"/>
      <c r="I109" s="353"/>
      <c r="J109" s="353"/>
      <c r="K109" s="353"/>
      <c r="L109" s="353"/>
      <c r="M109" s="353"/>
      <c r="N109" s="353"/>
      <c r="O109" s="353"/>
      <c r="P109" s="353"/>
      <c r="Q109" s="353"/>
      <c r="R109" s="353"/>
      <c r="S109" s="353"/>
      <c r="T109" s="354"/>
      <c r="U109" s="354"/>
      <c r="V109" s="354"/>
      <c r="W109" s="354"/>
      <c r="X109" s="354"/>
      <c r="Y109" s="354"/>
      <c r="Z109" s="354"/>
      <c r="AA109" s="354"/>
      <c r="AB109" s="354"/>
      <c r="AC109" s="354"/>
      <c r="AD109" s="354"/>
      <c r="AE109" s="354"/>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4"/>
      <c r="BE109" s="2"/>
      <c r="BF109" s="3"/>
    </row>
    <row r="110" spans="1:58" s="193" customFormat="1">
      <c r="A110" s="106" t="s">
        <v>78</v>
      </c>
      <c r="B110" s="353">
        <f>B34/'Revenue, EBITDA, capex breakout'!B13</f>
        <v>0.13412155594436492</v>
      </c>
      <c r="C110" s="353">
        <f>C34/'Revenue, EBITDA, capex breakout'!C13</f>
        <v>0.13761595386165446</v>
      </c>
      <c r="D110" s="353">
        <f>D34/'Revenue, EBITDA, capex breakout'!D13</f>
        <v>0.13202032830537921</v>
      </c>
      <c r="E110" s="353">
        <f>E34/'Revenue, EBITDA, capex breakout'!E13</f>
        <v>5.4229756706675077E-2</v>
      </c>
      <c r="F110" s="353">
        <f>F34/'Revenue, EBITDA, capex breakout'!F13</f>
        <v>5.2197881316065543E-2</v>
      </c>
      <c r="G110" s="353">
        <f>G34/'Revenue, EBITDA, capex breakout'!G13</f>
        <v>5.2966745302665583E-2</v>
      </c>
      <c r="H110" s="353">
        <f>H34/'Revenue, EBITDA, capex breakout'!H13</f>
        <v>5.4680336895279021E-2</v>
      </c>
      <c r="I110" s="353">
        <f>I34/'Revenue, EBITDA, capex breakout'!I13</f>
        <v>5.5844080764754216E-2</v>
      </c>
      <c r="J110" s="353">
        <f>J34/'Revenue, EBITDA, capex breakout'!J13</f>
        <v>6.3324899639259968E-2</v>
      </c>
      <c r="K110" s="353">
        <f>K34/'Revenue, EBITDA, capex breakout'!K13</f>
        <v>5.9096629640224344E-2</v>
      </c>
      <c r="L110" s="353">
        <f>L34/'Revenue, EBITDA, capex breakout'!L13</f>
        <v>5.7397542639651779E-2</v>
      </c>
      <c r="M110" s="353">
        <f>M34/'Revenue, EBITDA, capex breakout'!M13</f>
        <v>5.8779443861867835E-2</v>
      </c>
      <c r="N110" s="353">
        <f>N34/'Revenue, EBITDA, capex breakout'!N13</f>
        <v>5.8044142311511393E-2</v>
      </c>
      <c r="O110" s="353">
        <f>O34/'Revenue, EBITDA, capex breakout'!O13</f>
        <v>6.0161161596309062E-2</v>
      </c>
      <c r="P110" s="353">
        <f>P34/'Revenue, EBITDA, capex breakout'!P13</f>
        <v>5.8974289764871596E-2</v>
      </c>
      <c r="Q110" s="353">
        <f>Q34/'Revenue, EBITDA, capex breakout'!Q13</f>
        <v>5.8733027585757422E-2</v>
      </c>
      <c r="R110" s="353">
        <f>R34/'Revenue, EBITDA, capex breakout'!R13</f>
        <v>5.891743075252736E-2</v>
      </c>
      <c r="S110" s="353">
        <f>S34/'Revenue, EBITDA, capex breakout'!S13</f>
        <v>5.834994514950264E-2</v>
      </c>
      <c r="T110" s="354">
        <f>T34/'Revenue, EBITDA, capex breakout'!T13</f>
        <v>5.8087236143256636E-2</v>
      </c>
      <c r="U110" s="354">
        <f>U34/'Revenue, EBITDA, capex breakout'!U13</f>
        <v>5.6683278133463681E-2</v>
      </c>
      <c r="V110" s="354">
        <f>V34/'Revenue, EBITDA, capex breakout'!V13</f>
        <v>5.6982259890787389E-2</v>
      </c>
      <c r="W110" s="354">
        <f>W34/'Revenue, EBITDA, capex breakout'!W13</f>
        <v>6.0696004827292455E-2</v>
      </c>
      <c r="X110" s="354">
        <f>X34/'Revenue, EBITDA, capex breakout'!X13</f>
        <v>6.553154109797435E-2</v>
      </c>
      <c r="Y110" s="354">
        <f>Y34/'Revenue, EBITDA, capex breakout'!Y13</f>
        <v>7.3022580352502434E-2</v>
      </c>
      <c r="Z110" s="354">
        <f>Z34/'Revenue, EBITDA, capex breakout'!Z13</f>
        <v>7.2784645165109907E-2</v>
      </c>
      <c r="AA110" s="354">
        <f>AA34/'Revenue, EBITDA, capex breakout'!AA13</f>
        <v>7.6287258517052467E-2</v>
      </c>
      <c r="AB110" s="354">
        <f>AB34/'Revenue, EBITDA, capex breakout'!AB13</f>
        <v>8.3419722229878049E-2</v>
      </c>
      <c r="AC110" s="354">
        <f>AC34/'Revenue, EBITDA, capex breakout'!AC13</f>
        <v>8.5252905924835601E-2</v>
      </c>
      <c r="AD110" s="354">
        <f>AD34/'Revenue, EBITDA, capex breakout'!AD13</f>
        <v>8.5606759555941658E-2</v>
      </c>
      <c r="AE110" s="354">
        <f>AE34/'Revenue, EBITDA, capex breakout'!AE13</f>
        <v>8.5397393330256047E-2</v>
      </c>
      <c r="AF110" s="327">
        <f>AF34/'Revenue, EBITDA, capex breakout'!AF13</f>
        <v>8.5636761332799516E-2</v>
      </c>
      <c r="AG110" s="327">
        <f>AG34/'Revenue, EBITDA, capex breakout'!AG13</f>
        <v>8.1084199939812224E-2</v>
      </c>
      <c r="AH110" s="327">
        <f>AH34/'Revenue, EBITDA, capex breakout'!AH13</f>
        <v>8.3237394779606413E-2</v>
      </c>
      <c r="AI110" s="327">
        <f>AI34/'Revenue, EBITDA, capex breakout'!AI13</f>
        <v>7.8906645592083782E-2</v>
      </c>
      <c r="AJ110" s="327">
        <f>AJ34/'Revenue, EBITDA, capex breakout'!AJ13</f>
        <v>7.5919393204569183E-2</v>
      </c>
      <c r="AK110" s="327">
        <f>AK34/'Revenue, EBITDA, capex breakout'!AK13</f>
        <v>7.3095120706208425E-2</v>
      </c>
      <c r="AL110" s="327">
        <f>AL34/'Revenue, EBITDA, capex breakout'!AL13</f>
        <v>7.0504665783609491E-2</v>
      </c>
      <c r="AM110" s="327">
        <f>AM34/'Revenue, EBITDA, capex breakout'!AM13</f>
        <v>7.0482753383824676E-2</v>
      </c>
      <c r="AN110" s="327"/>
      <c r="AO110" s="327"/>
      <c r="AP110" s="327"/>
      <c r="AQ110" s="327"/>
      <c r="AR110" s="327"/>
      <c r="AS110" s="327"/>
      <c r="AT110" s="327"/>
      <c r="AU110" s="327"/>
      <c r="AV110" s="327"/>
      <c r="AW110" s="327"/>
      <c r="AX110" s="327"/>
      <c r="AY110" s="327"/>
      <c r="AZ110" s="327"/>
      <c r="BA110" s="327"/>
      <c r="BB110" s="327"/>
      <c r="BC110" s="327"/>
      <c r="BD110" s="4"/>
      <c r="BE110" s="2"/>
      <c r="BF110" s="3"/>
    </row>
    <row r="111" spans="1:58">
      <c r="A111" s="2" t="s">
        <v>79</v>
      </c>
      <c r="B111" s="353">
        <f>B35/'Revenue, EBITDA, capex breakout'!B25</f>
        <v>0.14928357793698269</v>
      </c>
      <c r="C111" s="353">
        <f>C35/'Revenue, EBITDA, capex breakout'!C25</f>
        <v>0.15308421179343434</v>
      </c>
      <c r="D111" s="353">
        <f>D35/'Revenue, EBITDA, capex breakout'!D25</f>
        <v>0.15289339419978518</v>
      </c>
      <c r="E111" s="353">
        <f>E35/'Revenue, EBITDA, capex breakout'!E25</f>
        <v>6.2980559402204428E-2</v>
      </c>
      <c r="F111" s="353">
        <f>F35/'Revenue, EBITDA, capex breakout'!F25</f>
        <v>6.7282125274536947E-2</v>
      </c>
      <c r="G111" s="353">
        <f>G35/'Revenue, EBITDA, capex breakout'!G25</f>
        <v>6.774958803618053E-2</v>
      </c>
      <c r="H111" s="353">
        <f>H35/'Revenue, EBITDA, capex breakout'!H25</f>
        <v>6.6294220015524083E-2</v>
      </c>
      <c r="I111" s="353">
        <f>I35/'Revenue, EBITDA, capex breakout'!I25</f>
        <v>7.0202747498117848E-2</v>
      </c>
      <c r="J111" s="353">
        <f>J35/'Revenue, EBITDA, capex breakout'!J25</f>
        <v>8.7783093584317559E-2</v>
      </c>
      <c r="K111" s="353">
        <f>K35/'Revenue, EBITDA, capex breakout'!K25</f>
        <v>7.9340152515332066E-2</v>
      </c>
      <c r="L111" s="353">
        <f>L35/'Revenue, EBITDA, capex breakout'!L25</f>
        <v>7.5261484621017935E-2</v>
      </c>
      <c r="M111" s="353">
        <f>M35/'Revenue, EBITDA, capex breakout'!M25</f>
        <v>8.6630854562348009E-2</v>
      </c>
      <c r="N111" s="353">
        <f>N35/'Revenue, EBITDA, capex breakout'!N25</f>
        <v>7.8188777453037886E-2</v>
      </c>
      <c r="O111" s="353">
        <f>O35/'Revenue, EBITDA, capex breakout'!O25</f>
        <v>8.2012611840916697E-2</v>
      </c>
      <c r="P111" s="353">
        <f>P35/'Revenue, EBITDA, capex breakout'!P25</f>
        <v>8.3678160317338698E-2</v>
      </c>
      <c r="Q111" s="353">
        <f>Q35/'Revenue, EBITDA, capex breakout'!Q25</f>
        <v>8.4038509434196648E-2</v>
      </c>
      <c r="R111" s="353">
        <f>R35/'Revenue, EBITDA, capex breakout'!R25</f>
        <v>8.2198134173354157E-2</v>
      </c>
      <c r="S111" s="353">
        <f>S35/'Revenue, EBITDA, capex breakout'!S25</f>
        <v>7.6006073161288767E-2</v>
      </c>
      <c r="T111" s="354">
        <f>T35/'Revenue, EBITDA, capex breakout'!T25</f>
        <v>7.7763535635059208E-2</v>
      </c>
      <c r="U111" s="354">
        <f>U35/'Revenue, EBITDA, capex breakout'!U25</f>
        <v>7.7145412226285334E-2</v>
      </c>
      <c r="V111" s="354">
        <f>V35/'Revenue, EBITDA, capex breakout'!V25</f>
        <v>7.1293023135549943E-2</v>
      </c>
      <c r="W111" s="354">
        <f>W35/'Revenue, EBITDA, capex breakout'!W25</f>
        <v>7.5062049576387554E-2</v>
      </c>
      <c r="X111" s="354">
        <f>X35/'Revenue, EBITDA, capex breakout'!X25</f>
        <v>8.5069972697042209E-2</v>
      </c>
      <c r="Y111" s="354">
        <f>Y35/'Revenue, EBITDA, capex breakout'!Y25</f>
        <v>9.9376737276048399E-2</v>
      </c>
      <c r="Z111" s="354">
        <f>Z35/'Revenue, EBITDA, capex breakout'!Z25</f>
        <v>0.10167797691452238</v>
      </c>
      <c r="AA111" s="354">
        <f>AA35/'Revenue, EBITDA, capex breakout'!AA25</f>
        <v>0.10157802016567338</v>
      </c>
      <c r="AB111" s="354">
        <f>AB35/'Revenue, EBITDA, capex breakout'!AB25</f>
        <v>0.10963319787534107</v>
      </c>
      <c r="AC111" s="354">
        <f>AC35/'Revenue, EBITDA, capex breakout'!AC25</f>
        <v>0.11578065637394971</v>
      </c>
      <c r="AD111" s="354">
        <f>AD35/'Revenue, EBITDA, capex breakout'!AD25</f>
        <v>0.114299583560041</v>
      </c>
      <c r="AE111" s="354">
        <f>AE35/'Revenue, EBITDA, capex breakout'!AE25</f>
        <v>0.1256149147604558</v>
      </c>
      <c r="AF111" s="327">
        <f>AF35/'Revenue, EBITDA, capex breakout'!AF25</f>
        <v>0.13492551335838535</v>
      </c>
      <c r="AG111" s="327">
        <f>AG35/'Revenue, EBITDA, capex breakout'!AG25</f>
        <v>0.11999021319640332</v>
      </c>
      <c r="AH111" s="327">
        <f>AH35/'Revenue, EBITDA, capex breakout'!AH25</f>
        <v>0.11839799910510325</v>
      </c>
      <c r="AI111" s="327">
        <f>AI35/'Revenue, EBITDA, capex breakout'!AI25</f>
        <v>0.103711827042512</v>
      </c>
      <c r="AJ111" s="327">
        <f>AJ35/'Revenue, EBITDA, capex breakout'!AJ25</f>
        <v>9.3926023907277861E-2</v>
      </c>
      <c r="AK111" s="327">
        <f>AK35/'Revenue, EBITDA, capex breakout'!AK25</f>
        <v>9.2525908904642865E-2</v>
      </c>
      <c r="AL111" s="327">
        <f>AL35/'Revenue, EBITDA, capex breakout'!AL25</f>
        <v>8.6395944214570045E-2</v>
      </c>
      <c r="AM111" s="327">
        <f>AM35/'Revenue, EBITDA, capex breakout'!AM25</f>
        <v>8.2536857811124922E-2</v>
      </c>
      <c r="AN111" s="327"/>
      <c r="AO111" s="327"/>
      <c r="AP111" s="327"/>
      <c r="AQ111" s="327"/>
      <c r="AR111" s="327"/>
      <c r="AS111" s="327"/>
      <c r="AT111" s="327"/>
      <c r="AU111" s="327"/>
      <c r="AV111" s="327"/>
      <c r="AW111" s="327"/>
      <c r="AX111" s="327"/>
      <c r="AY111" s="327"/>
      <c r="AZ111" s="327"/>
      <c r="BA111" s="327"/>
      <c r="BB111" s="327"/>
      <c r="BC111" s="327"/>
      <c r="BD111" s="4"/>
      <c r="BE111" s="2"/>
      <c r="BF111" s="2"/>
    </row>
    <row r="112" spans="1:58" s="193" customFormat="1">
      <c r="A112" s="2"/>
      <c r="B112" s="353"/>
      <c r="C112" s="353"/>
      <c r="D112" s="353"/>
      <c r="E112" s="353"/>
      <c r="F112" s="353"/>
      <c r="G112" s="353"/>
      <c r="H112" s="353"/>
      <c r="I112" s="353"/>
      <c r="J112" s="353"/>
      <c r="K112" s="353"/>
      <c r="L112" s="353"/>
      <c r="M112" s="353"/>
      <c r="N112" s="353"/>
      <c r="O112" s="353"/>
      <c r="P112" s="353"/>
      <c r="Q112" s="353"/>
      <c r="R112" s="353"/>
      <c r="S112" s="353"/>
      <c r="T112" s="354"/>
      <c r="U112" s="354"/>
      <c r="V112" s="354"/>
      <c r="W112" s="354"/>
      <c r="X112" s="354"/>
      <c r="Y112" s="354"/>
      <c r="Z112" s="354"/>
      <c r="AA112" s="354"/>
      <c r="AB112" s="354"/>
      <c r="AC112" s="354"/>
      <c r="AD112" s="354"/>
      <c r="AE112" s="354"/>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4"/>
      <c r="BE112" s="2"/>
      <c r="BF112" s="3"/>
    </row>
    <row r="113" spans="1:58">
      <c r="A113" s="2" t="s">
        <v>80</v>
      </c>
      <c r="B113" s="353">
        <f t="shared" ref="B113:Y113" si="241">B39/B34</f>
        <v>0.18074405938419644</v>
      </c>
      <c r="C113" s="353">
        <f t="shared" si="241"/>
        <v>0.15749389884709247</v>
      </c>
      <c r="D113" s="353">
        <f t="shared" si="241"/>
        <v>0.10002869675726643</v>
      </c>
      <c r="E113" s="353">
        <f t="shared" si="241"/>
        <v>0.1417280564756784</v>
      </c>
      <c r="F113" s="353">
        <f t="shared" si="241"/>
        <v>0.17811907491055157</v>
      </c>
      <c r="G113" s="353">
        <f t="shared" si="241"/>
        <v>0.22212561639961814</v>
      </c>
      <c r="H113" s="353">
        <f t="shared" si="241"/>
        <v>0.15414835707910352</v>
      </c>
      <c r="I113" s="353">
        <f t="shared" si="241"/>
        <v>0.2097235640077435</v>
      </c>
      <c r="J113" s="353">
        <f t="shared" si="241"/>
        <v>0.13459596185210027</v>
      </c>
      <c r="K113" s="353">
        <f t="shared" si="241"/>
        <v>9.4663782092012733E-2</v>
      </c>
      <c r="L113" s="353">
        <f t="shared" si="241"/>
        <v>0.13331059186013705</v>
      </c>
      <c r="M113" s="353">
        <f t="shared" si="241"/>
        <v>0.22505065072385863</v>
      </c>
      <c r="N113" s="353">
        <f t="shared" si="241"/>
        <v>0.20013878351627792</v>
      </c>
      <c r="O113" s="353">
        <f t="shared" si="241"/>
        <v>0.14948253349870086</v>
      </c>
      <c r="P113" s="353">
        <f t="shared" si="241"/>
        <v>0.18772483772424906</v>
      </c>
      <c r="Q113" s="353">
        <f t="shared" si="241"/>
        <v>0.20118388129952738</v>
      </c>
      <c r="R113" s="353">
        <f t="shared" si="241"/>
        <v>0.20811298677360365</v>
      </c>
      <c r="S113" s="353">
        <f t="shared" si="241"/>
        <v>0.17817457912664017</v>
      </c>
      <c r="T113" s="354">
        <f t="shared" si="241"/>
        <v>0.17087967852750915</v>
      </c>
      <c r="U113" s="354">
        <f t="shared" si="241"/>
        <v>0.14793929649001272</v>
      </c>
      <c r="V113" s="354">
        <f t="shared" si="241"/>
        <v>0.14107112297016378</v>
      </c>
      <c r="W113" s="354">
        <f t="shared" si="241"/>
        <v>0.14220782234236534</v>
      </c>
      <c r="X113" s="354">
        <f t="shared" si="241"/>
        <v>0.22265690944087294</v>
      </c>
      <c r="Y113" s="354">
        <f t="shared" si="241"/>
        <v>0.14004291194539809</v>
      </c>
      <c r="Z113" s="354">
        <f t="shared" ref="Z113:AA113" si="242">Z39/Z34</f>
        <v>0.21653112226814078</v>
      </c>
      <c r="AA113" s="354">
        <f t="shared" si="242"/>
        <v>0.16830193222175405</v>
      </c>
      <c r="AB113" s="354">
        <f t="shared" ref="AB113:AC113" si="243">AB39/AB34</f>
        <v>0.14041093445585462</v>
      </c>
      <c r="AC113" s="354">
        <f t="shared" si="243"/>
        <v>0.15953679856189701</v>
      </c>
      <c r="AD113" s="354">
        <f t="shared" ref="AD113:AE113" si="244">AD39/AD34</f>
        <v>0.1730787739405879</v>
      </c>
      <c r="AE113" s="354">
        <f t="shared" si="244"/>
        <v>0.15033688676963375</v>
      </c>
      <c r="AF113" s="327">
        <f t="shared" ref="AF113:AG113" si="245">AF39/AF34</f>
        <v>0.10830649778543326</v>
      </c>
      <c r="AG113" s="327">
        <f t="shared" si="245"/>
        <v>0.10239090361836559</v>
      </c>
      <c r="AH113" s="327">
        <f t="shared" ref="AH113:AI113" si="246">AH39/AH34</f>
        <v>0.11795913039914824</v>
      </c>
      <c r="AI113" s="327">
        <f t="shared" si="246"/>
        <v>0.12810363440086361</v>
      </c>
      <c r="AJ113" s="327">
        <f t="shared" ref="AJ113:AK113" si="247">AJ39/AJ34</f>
        <v>9.669846552293504E-2</v>
      </c>
      <c r="AK113" s="327">
        <f t="shared" si="247"/>
        <v>0.17455599384377804</v>
      </c>
      <c r="AL113" s="327">
        <f t="shared" ref="AL113:AM113" si="248">AL39/AL34</f>
        <v>6.1125619813605113E-2</v>
      </c>
      <c r="AM113" s="327">
        <f t="shared" si="248"/>
        <v>0.11737423518272225</v>
      </c>
      <c r="AN113" s="327"/>
      <c r="AO113" s="327"/>
      <c r="AP113" s="327"/>
      <c r="AQ113" s="327"/>
      <c r="AR113" s="327"/>
      <c r="AS113" s="327"/>
      <c r="AT113" s="327"/>
      <c r="AU113" s="327"/>
      <c r="AV113" s="327"/>
      <c r="AW113" s="327"/>
      <c r="AX113" s="327"/>
      <c r="AY113" s="327"/>
      <c r="AZ113" s="327"/>
      <c r="BA113" s="327"/>
      <c r="BB113" s="327"/>
      <c r="BC113" s="327"/>
      <c r="BD113" s="4"/>
      <c r="BE113" s="2"/>
      <c r="BF113" s="2"/>
    </row>
    <row r="114" spans="1:58">
      <c r="A114" s="2" t="s">
        <v>81</v>
      </c>
      <c r="B114" s="364">
        <f t="shared" ref="B114:Y114" si="249">B35-B39</f>
        <v>4470</v>
      </c>
      <c r="C114" s="364">
        <f t="shared" si="249"/>
        <v>5159</v>
      </c>
      <c r="D114" s="364">
        <f t="shared" si="249"/>
        <v>6670</v>
      </c>
      <c r="E114" s="364">
        <f t="shared" si="249"/>
        <v>2485.9964488799997</v>
      </c>
      <c r="F114" s="364">
        <f t="shared" si="249"/>
        <v>1891.7646493199991</v>
      </c>
      <c r="G114" s="364">
        <f t="shared" si="249"/>
        <v>1637.0283820800005</v>
      </c>
      <c r="H114" s="364">
        <f t="shared" si="249"/>
        <v>2393.6042747399943</v>
      </c>
      <c r="I114" s="364">
        <f t="shared" si="249"/>
        <v>1987.8075949199983</v>
      </c>
      <c r="J114" s="364">
        <f t="shared" si="249"/>
        <v>4018.1676120000002</v>
      </c>
      <c r="K114" s="364">
        <f t="shared" si="249"/>
        <v>4227.6454180000019</v>
      </c>
      <c r="L114" s="364">
        <f t="shared" si="249"/>
        <v>3665.348688999999</v>
      </c>
      <c r="M114" s="364">
        <f t="shared" si="249"/>
        <v>3400.9184860000014</v>
      </c>
      <c r="N114" s="364">
        <f t="shared" si="249"/>
        <v>3405.4217119999989</v>
      </c>
      <c r="O114" s="364">
        <f t="shared" si="249"/>
        <v>4301.0067159999981</v>
      </c>
      <c r="P114" s="364">
        <f t="shared" si="249"/>
        <v>3979.6407040000054</v>
      </c>
      <c r="Q114" s="364">
        <f t="shared" si="249"/>
        <v>4045.9768570000001</v>
      </c>
      <c r="R114" s="364">
        <f t="shared" si="249"/>
        <v>3888.5599929999998</v>
      </c>
      <c r="S114" s="364">
        <f t="shared" si="249"/>
        <v>3804.0569160000005</v>
      </c>
      <c r="T114" s="361">
        <f t="shared" si="249"/>
        <v>4201.5401539999984</v>
      </c>
      <c r="U114" s="361">
        <f t="shared" si="249"/>
        <v>4995.3958010000006</v>
      </c>
      <c r="V114" s="361">
        <f t="shared" si="249"/>
        <v>4784.3591965990117</v>
      </c>
      <c r="W114" s="361">
        <f t="shared" si="249"/>
        <v>4977.7426608069873</v>
      </c>
      <c r="X114" s="361">
        <f t="shared" si="249"/>
        <v>3885.998259060003</v>
      </c>
      <c r="Y114" s="361">
        <f t="shared" si="249"/>
        <v>5699.8869999199969</v>
      </c>
      <c r="Z114" s="361">
        <f t="shared" ref="Z114:AA114" si="250">Z35-Z39</f>
        <v>4493.7423127099992</v>
      </c>
      <c r="AA114" s="361">
        <f t="shared" si="250"/>
        <v>5334</v>
      </c>
      <c r="AB114" s="361">
        <f t="shared" ref="AB114:AC114" si="251">AB35-AB39</f>
        <v>5938.0543768260013</v>
      </c>
      <c r="AC114" s="361">
        <f t="shared" si="251"/>
        <v>5473.6707821899972</v>
      </c>
      <c r="AD114" s="361">
        <f t="shared" ref="AD114:AE114" si="252">AD35-AD39</f>
        <v>4881.071890680003</v>
      </c>
      <c r="AE114" s="361">
        <f t="shared" si="252"/>
        <v>5381.4929530199925</v>
      </c>
      <c r="AF114" s="330">
        <f t="shared" ref="AF114:AG114" si="253">AF35-AF39</f>
        <v>6633.1790957630037</v>
      </c>
      <c r="AG114" s="330">
        <f t="shared" si="253"/>
        <v>6456.5606135329963</v>
      </c>
      <c r="AH114" s="330">
        <f t="shared" ref="AH114:AI114" si="254">AH35-AH39</f>
        <v>8018.8948026299986</v>
      </c>
      <c r="AI114" s="330">
        <f t="shared" si="254"/>
        <v>7132</v>
      </c>
      <c r="AJ114" s="330">
        <f t="shared" ref="AJ114:AK114" si="255">AJ35-AJ39</f>
        <v>7170.9744990000045</v>
      </c>
      <c r="AK114" s="330">
        <f t="shared" si="255"/>
        <v>6094.6390199999978</v>
      </c>
      <c r="AL114" s="330">
        <f t="shared" ref="AL114:AM114" si="256">AL35-AL39</f>
        <v>7738.2936279999994</v>
      </c>
      <c r="AM114" s="330">
        <f t="shared" si="256"/>
        <v>7219.8819910000002</v>
      </c>
      <c r="AN114" s="330"/>
      <c r="AO114" s="330"/>
      <c r="AP114" s="330"/>
      <c r="AQ114" s="330"/>
      <c r="AR114" s="330"/>
      <c r="AS114" s="330"/>
      <c r="AT114" s="330"/>
      <c r="AU114" s="330"/>
      <c r="AV114" s="330"/>
      <c r="AW114" s="330"/>
      <c r="AX114" s="330"/>
      <c r="AY114" s="330"/>
      <c r="AZ114" s="330"/>
      <c r="BA114" s="330"/>
      <c r="BB114" s="330"/>
      <c r="BC114" s="330"/>
      <c r="BD114" s="5"/>
      <c r="BE114" s="2"/>
      <c r="BF114" s="2"/>
    </row>
    <row r="115" spans="1:58" s="193" customFormat="1">
      <c r="A115" s="2"/>
      <c r="B115" s="353"/>
      <c r="C115" s="353"/>
      <c r="D115" s="353"/>
      <c r="E115" s="353"/>
      <c r="F115" s="353"/>
      <c r="G115" s="353"/>
      <c r="H115" s="353"/>
      <c r="I115" s="353"/>
      <c r="J115" s="353"/>
      <c r="K115" s="353"/>
      <c r="L115" s="353"/>
      <c r="M115" s="353"/>
      <c r="N115" s="353"/>
      <c r="O115" s="353"/>
      <c r="P115" s="353"/>
      <c r="Q115" s="353"/>
      <c r="R115" s="353"/>
      <c r="S115" s="353"/>
      <c r="T115" s="354"/>
      <c r="U115" s="354"/>
      <c r="V115" s="354"/>
      <c r="W115" s="354"/>
      <c r="X115" s="354"/>
      <c r="Y115" s="354"/>
      <c r="Z115" s="354"/>
      <c r="AA115" s="354"/>
      <c r="AB115" s="354"/>
      <c r="AC115" s="354"/>
      <c r="AD115" s="354"/>
      <c r="AE115" s="354"/>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4"/>
      <c r="BE115" s="2"/>
      <c r="BF115" s="3"/>
    </row>
    <row r="116" spans="1:58" s="27" customFormat="1">
      <c r="A116" s="510" t="s">
        <v>423</v>
      </c>
      <c r="B116" s="530" t="str">
        <f>B$1</f>
        <v>Q1 12</v>
      </c>
      <c r="C116" s="530" t="str">
        <f t="shared" ref="C116:BC116" si="257">C$1</f>
        <v>Q2 12</v>
      </c>
      <c r="D116" s="530" t="str">
        <f t="shared" si="257"/>
        <v>Q3 12</v>
      </c>
      <c r="E116" s="530" t="str">
        <f t="shared" si="257"/>
        <v>4Q12</v>
      </c>
      <c r="F116" s="530" t="str">
        <f t="shared" si="257"/>
        <v>1Q13</v>
      </c>
      <c r="G116" s="530" t="str">
        <f t="shared" si="257"/>
        <v>2Q13</v>
      </c>
      <c r="H116" s="530" t="str">
        <f t="shared" si="257"/>
        <v>3Q13</v>
      </c>
      <c r="I116" s="530" t="str">
        <f t="shared" si="257"/>
        <v>4Q13</v>
      </c>
      <c r="J116" s="530" t="str">
        <f t="shared" si="257"/>
        <v>1Q14</v>
      </c>
      <c r="K116" s="530" t="str">
        <f t="shared" si="257"/>
        <v>2Q14</v>
      </c>
      <c r="L116" s="530" t="str">
        <f t="shared" si="257"/>
        <v>3Q14</v>
      </c>
      <c r="M116" s="530" t="str">
        <f t="shared" si="257"/>
        <v>4Q14</v>
      </c>
      <c r="N116" s="530" t="str">
        <f t="shared" si="257"/>
        <v>1Q15</v>
      </c>
      <c r="O116" s="530" t="str">
        <f t="shared" si="257"/>
        <v>2Q15</v>
      </c>
      <c r="P116" s="530" t="str">
        <f t="shared" si="257"/>
        <v>3Q15</v>
      </c>
      <c r="Q116" s="530" t="str">
        <f t="shared" si="257"/>
        <v>4Q15</v>
      </c>
      <c r="R116" s="530" t="str">
        <f t="shared" si="257"/>
        <v>1Q16</v>
      </c>
      <c r="S116" s="530" t="str">
        <f t="shared" si="257"/>
        <v>2Q16</v>
      </c>
      <c r="T116" s="530" t="str">
        <f t="shared" si="257"/>
        <v>3Q16</v>
      </c>
      <c r="U116" s="530" t="str">
        <f t="shared" si="257"/>
        <v>4Q16</v>
      </c>
      <c r="V116" s="530" t="str">
        <f t="shared" si="257"/>
        <v>1Q17</v>
      </c>
      <c r="W116" s="530" t="str">
        <f t="shared" si="257"/>
        <v>2Q17</v>
      </c>
      <c r="X116" s="530" t="str">
        <f t="shared" si="257"/>
        <v>3Q17</v>
      </c>
      <c r="Y116" s="530" t="str">
        <f t="shared" si="257"/>
        <v>4Q17</v>
      </c>
      <c r="Z116" s="530" t="str">
        <f t="shared" si="257"/>
        <v>1Q18</v>
      </c>
      <c r="AA116" s="530" t="str">
        <f t="shared" si="257"/>
        <v>2Q18</v>
      </c>
      <c r="AB116" s="530" t="str">
        <f t="shared" si="257"/>
        <v>3Q18</v>
      </c>
      <c r="AC116" s="530" t="str">
        <f t="shared" si="257"/>
        <v>4Q18</v>
      </c>
      <c r="AD116" s="530" t="str">
        <f t="shared" si="257"/>
        <v>1Q19</v>
      </c>
      <c r="AE116" s="530" t="str">
        <f t="shared" si="257"/>
        <v>2Q19</v>
      </c>
      <c r="AF116" s="530" t="str">
        <f t="shared" si="257"/>
        <v>3Q19</v>
      </c>
      <c r="AG116" s="530" t="str">
        <f t="shared" si="257"/>
        <v>4Q19</v>
      </c>
      <c r="AH116" s="530" t="str">
        <f t="shared" si="257"/>
        <v>1Q20</v>
      </c>
      <c r="AI116" s="530" t="str">
        <f t="shared" si="257"/>
        <v>2Q20</v>
      </c>
      <c r="AJ116" s="530" t="str">
        <f t="shared" si="257"/>
        <v>3Q20</v>
      </c>
      <c r="AK116" s="530" t="str">
        <f t="shared" si="257"/>
        <v>4Q20</v>
      </c>
      <c r="AL116" s="530" t="str">
        <f t="shared" si="257"/>
        <v>1Q21</v>
      </c>
      <c r="AM116" s="530" t="str">
        <f t="shared" si="257"/>
        <v>2Q21</v>
      </c>
      <c r="AN116" s="530" t="str">
        <f t="shared" si="257"/>
        <v>3Q21</v>
      </c>
      <c r="AO116" s="530" t="str">
        <f t="shared" si="257"/>
        <v>4Q21</v>
      </c>
      <c r="AP116" s="530" t="str">
        <f t="shared" si="257"/>
        <v>1Q22</v>
      </c>
      <c r="AQ116" s="530" t="str">
        <f t="shared" si="257"/>
        <v>2Q22</v>
      </c>
      <c r="AR116" s="530" t="str">
        <f t="shared" si="257"/>
        <v>3Q22</v>
      </c>
      <c r="AS116" s="530" t="str">
        <f t="shared" si="257"/>
        <v>4Q22</v>
      </c>
      <c r="AT116" s="530" t="str">
        <f t="shared" si="257"/>
        <v>1Q23</v>
      </c>
      <c r="AU116" s="530" t="str">
        <f t="shared" si="257"/>
        <v>2Q23</v>
      </c>
      <c r="AV116" s="530" t="str">
        <f t="shared" si="257"/>
        <v>3Q23</v>
      </c>
      <c r="AW116" s="530" t="str">
        <f t="shared" si="257"/>
        <v>4Q23</v>
      </c>
      <c r="AX116" s="530" t="str">
        <f t="shared" si="257"/>
        <v>1Q24</v>
      </c>
      <c r="AY116" s="530" t="str">
        <f t="shared" si="257"/>
        <v>2Q24</v>
      </c>
      <c r="AZ116" s="530" t="str">
        <f t="shared" si="257"/>
        <v>3Q24</v>
      </c>
      <c r="BA116" s="530" t="str">
        <f t="shared" si="257"/>
        <v>4Q24</v>
      </c>
      <c r="BB116" s="530" t="str">
        <f t="shared" si="257"/>
        <v>1Q25</v>
      </c>
      <c r="BC116" s="530" t="str">
        <f t="shared" si="257"/>
        <v>2Q25</v>
      </c>
      <c r="BD116" s="527"/>
      <c r="BE116" s="510"/>
      <c r="BF116" s="176"/>
    </row>
    <row r="117" spans="1:58" s="193" customFormat="1">
      <c r="A117" s="2"/>
      <c r="B117" s="353"/>
      <c r="C117" s="353"/>
      <c r="D117" s="353"/>
      <c r="E117" s="353"/>
      <c r="F117" s="353"/>
      <c r="G117" s="353"/>
      <c r="H117" s="353"/>
      <c r="I117" s="353"/>
      <c r="J117" s="353"/>
      <c r="K117" s="353"/>
      <c r="L117" s="353"/>
      <c r="M117" s="353"/>
      <c r="N117" s="353"/>
      <c r="O117" s="353"/>
      <c r="P117" s="353"/>
      <c r="Q117" s="353"/>
      <c r="R117" s="353"/>
      <c r="S117" s="353"/>
      <c r="T117" s="354"/>
      <c r="U117" s="354"/>
      <c r="V117" s="354"/>
      <c r="W117" s="354"/>
      <c r="X117" s="354"/>
      <c r="Y117" s="354"/>
      <c r="Z117" s="354"/>
      <c r="AA117" s="354"/>
      <c r="AB117" s="354"/>
      <c r="AC117" s="354"/>
      <c r="AD117" s="354"/>
      <c r="AE117" s="354"/>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4"/>
      <c r="BE117" s="2"/>
      <c r="BF117" s="3"/>
    </row>
    <row r="118" spans="1:58" s="193" customFormat="1">
      <c r="A118" s="106" t="s">
        <v>530</v>
      </c>
      <c r="B118" s="353">
        <f>(B6+B15+B25)/'Revenue, EBITDA, capex breakout'!B13</f>
        <v>0.13432185167512031</v>
      </c>
      <c r="C118" s="353">
        <f>(C6+C15+C25)/'Revenue, EBITDA, capex breakout'!C13</f>
        <v>0.1372627361058032</v>
      </c>
      <c r="D118" s="353">
        <f>(D6+D15+D25)/'Revenue, EBITDA, capex breakout'!D13</f>
        <v>0.13171183165825065</v>
      </c>
      <c r="E118" s="353">
        <f>(E6+E15+E25)/'Revenue, EBITDA, capex breakout'!E13</f>
        <v>0.12777938921695303</v>
      </c>
      <c r="F118" s="353">
        <f>(F6+F15+F25)/'Revenue, EBITDA, capex breakout'!F13</f>
        <v>0.12922594544214241</v>
      </c>
      <c r="G118" s="353">
        <f>(G6+G15+G25)/'Revenue, EBITDA, capex breakout'!G13</f>
        <v>0.13515336739636563</v>
      </c>
      <c r="H118" s="353">
        <f>(H6+H15+H25)/'Revenue, EBITDA, capex breakout'!H13</f>
        <v>0.1386652857778107</v>
      </c>
      <c r="I118" s="353">
        <f>(I6+I15+I25)/'Revenue, EBITDA, capex breakout'!I13</f>
        <v>0.13293594672932846</v>
      </c>
      <c r="J118" s="353">
        <f>(J6+J15+J25)/'Revenue, EBITDA, capex breakout'!J13</f>
        <v>0.14024516864473274</v>
      </c>
      <c r="K118" s="353">
        <f>(K6+K15+K25)/'Revenue, EBITDA, capex breakout'!K13</f>
        <v>0.14843833484177746</v>
      </c>
      <c r="L118" s="353">
        <f>(L6+L15+L25)/'Revenue, EBITDA, capex breakout'!L13</f>
        <v>0.14335028094901658</v>
      </c>
      <c r="M118" s="353">
        <f>(M6+M15+M25)/'Revenue, EBITDA, capex breakout'!M13</f>
        <v>0.14384928797036811</v>
      </c>
      <c r="N118" s="353">
        <f>(N6+N15+N25)/'Revenue, EBITDA, capex breakout'!N13</f>
        <v>0.14254485623824123</v>
      </c>
      <c r="O118" s="353">
        <f>(O6+O15+O25)/'Revenue, EBITDA, capex breakout'!O13</f>
        <v>0.15084567342811619</v>
      </c>
      <c r="P118" s="353">
        <f>(P6+P15+P25)/'Revenue, EBITDA, capex breakout'!P13</f>
        <v>0.14464276659014258</v>
      </c>
      <c r="Q118" s="353">
        <f>(Q6+Q15+Q25)/'Revenue, EBITDA, capex breakout'!Q13</f>
        <v>0.15398701566335732</v>
      </c>
      <c r="R118" s="353">
        <f>(R6+R15+R25)/'Revenue, EBITDA, capex breakout'!R13</f>
        <v>0.15679318421775262</v>
      </c>
      <c r="S118" s="353">
        <f>(S6+S15+S25)/'Revenue, EBITDA, capex breakout'!S13</f>
        <v>0.16035320019130969</v>
      </c>
      <c r="T118" s="354">
        <f>(T6+T15+T25)/'Revenue, EBITDA, capex breakout'!T13</f>
        <v>0.15710153776920871</v>
      </c>
      <c r="U118" s="354">
        <f>(U6+U15+U25)/'Revenue, EBITDA, capex breakout'!U13</f>
        <v>0.1526210759266976</v>
      </c>
      <c r="V118" s="354">
        <f>(V6+V15+V25)/'Revenue, EBITDA, capex breakout'!V13</f>
        <v>0.16364728086822067</v>
      </c>
      <c r="W118" s="354">
        <f>(W6+W15+W25)/'Revenue, EBITDA, capex breakout'!W13</f>
        <v>0.18426834770871556</v>
      </c>
      <c r="X118" s="354">
        <f>(X6+X15+X25)/'Revenue, EBITDA, capex breakout'!X13</f>
        <v>0.1834535758096178</v>
      </c>
      <c r="Y118" s="354">
        <f>(Y6+Y15+Y25)/'Revenue, EBITDA, capex breakout'!Y13</f>
        <v>0.18788602993863118</v>
      </c>
      <c r="Z118" s="354">
        <f>(Z6+Z15+Z25)/'Revenue, EBITDA, capex breakout'!Z13</f>
        <v>0.19832823737481842</v>
      </c>
      <c r="AA118" s="354">
        <f>(AA6+AA15+AA25)/'Revenue, EBITDA, capex breakout'!AA13</f>
        <v>0.20227396920590165</v>
      </c>
      <c r="AB118" s="354">
        <f>(AB6+AB15+AB25)/'Revenue, EBITDA, capex breakout'!AB13</f>
        <v>0.2209513891459057</v>
      </c>
      <c r="AC118" s="354">
        <f>(AC6+AC15+AC25)/'Revenue, EBITDA, capex breakout'!AC13</f>
        <v>0.22363132037811381</v>
      </c>
      <c r="AD118" s="354">
        <f>(AD6+AD15+AD25)/'Revenue, EBITDA, capex breakout'!AD13</f>
        <v>0.2302744937588842</v>
      </c>
      <c r="AE118" s="354">
        <f>(AE6+AE15+AE25)/'Revenue, EBITDA, capex breakout'!AE13</f>
        <v>0.24473016294260388</v>
      </c>
      <c r="AF118" s="327">
        <f>(AF6+AF15+AF25)/'Revenue, EBITDA, capex breakout'!AF13</f>
        <v>0.23206056368044733</v>
      </c>
      <c r="AG118" s="327">
        <f>(AG6+AG15+AG25)/'Revenue, EBITDA, capex breakout'!AG13</f>
        <v>0.22367113623187337</v>
      </c>
      <c r="AH118" s="327">
        <f>(AH6+AH15+AH25)/'Revenue, EBITDA, capex breakout'!AH13</f>
        <v>0.21783564217498397</v>
      </c>
      <c r="AI118" s="327">
        <f>(AI6+AI15+AI25)/'Revenue, EBITDA, capex breakout'!AI13</f>
        <v>0.22090453497891752</v>
      </c>
      <c r="AJ118" s="327">
        <f>(AJ6+AJ15+AJ25)/'Revenue, EBITDA, capex breakout'!AJ13</f>
        <v>0.21253093923605856</v>
      </c>
      <c r="AK118" s="327">
        <f>(AK6+AK15+AK25)/'Revenue, EBITDA, capex breakout'!AK13</f>
        <v>0.19776253427849966</v>
      </c>
      <c r="AL118" s="327">
        <f>(AL6+AL15+AL25)/'Revenue, EBITDA, capex breakout'!AL13</f>
        <v>0.20718198006643535</v>
      </c>
      <c r="AM118" s="327">
        <f>(AM6+AM15+AM25)/'Revenue, EBITDA, capex breakout'!AM13</f>
        <v>0.19649494819634558</v>
      </c>
      <c r="AN118" s="327">
        <f>(AN6+AN15+AN25)/'Revenue, EBITDA, capex breakout'!AN13</f>
        <v>0.18772346255527608</v>
      </c>
      <c r="AO118" s="327">
        <f>(AO6+AO15+AO25)/'Revenue, EBITDA, capex breakout'!AO13</f>
        <v>0.19692646520005996</v>
      </c>
      <c r="AP118" s="327">
        <f>(AP6+AP15+AP25)/'Revenue, EBITDA, capex breakout'!AP13</f>
        <v>0.19558027980859177</v>
      </c>
      <c r="AQ118" s="327">
        <f>(AQ6+AQ15+AQ25)/'Revenue, EBITDA, capex breakout'!AQ13</f>
        <v>0.19437344667871667</v>
      </c>
      <c r="AR118" s="327">
        <f>(AR6+AR15+AR25)/'Revenue, EBITDA, capex breakout'!AR13</f>
        <v>0.19064677880798944</v>
      </c>
      <c r="AS118" s="327">
        <f>(AS6+AS15+AS25)/'Revenue, EBITDA, capex breakout'!AS13</f>
        <v>0.1844812772808512</v>
      </c>
      <c r="AT118" s="327">
        <f>(AT6+AT15+AT25)/'Revenue, EBITDA, capex breakout'!AT13</f>
        <v>0.1841284519531072</v>
      </c>
      <c r="AU118" s="327">
        <f>(AU6+AU15+AU25)/'Revenue, EBITDA, capex breakout'!AU13</f>
        <v>0.18487666062624689</v>
      </c>
      <c r="AV118" s="327">
        <f>(AV6+AV15+AV25)/'Revenue, EBITDA, capex breakout'!AV13</f>
        <v>0.18297312169729416</v>
      </c>
      <c r="AW118" s="327">
        <f>(AW6+AW15+AW25)/'Revenue, EBITDA, capex breakout'!AW13</f>
        <v>0.1835817229666194</v>
      </c>
      <c r="AX118" s="327">
        <f>(AX6+AX15+AX25)/'Revenue, EBITDA, capex breakout'!AX13</f>
        <v>0.18581557386761482</v>
      </c>
      <c r="AY118" s="327">
        <f>(AY6+AY15+AY25)/'Revenue, EBITDA, capex breakout'!AY13</f>
        <v>0.19118477064404574</v>
      </c>
      <c r="AZ118" s="327">
        <f>(AZ6+AZ15+AZ25)/'Revenue, EBITDA, capex breakout'!AZ13</f>
        <v>0.1913040805148459</v>
      </c>
      <c r="BA118" s="327">
        <f>(BA6+BA15+BA25)/'Revenue, EBITDA, capex breakout'!BA13</f>
        <v>0.20070832238821926</v>
      </c>
      <c r="BB118" s="327">
        <f>(BB6+BB15+BB25)/'Revenue, EBITDA, capex breakout'!BB13</f>
        <v>0.19790476388340639</v>
      </c>
      <c r="BC118" s="327">
        <f>(BC6+BC15+BC25)/'Revenue, EBITDA, capex breakout'!BC13</f>
        <v>0.18918677799933933</v>
      </c>
      <c r="BD118" s="4"/>
      <c r="BE118" s="2"/>
      <c r="BF118" s="3"/>
    </row>
    <row r="119" spans="1:58" s="193" customFormat="1">
      <c r="A119" s="106" t="s">
        <v>529</v>
      </c>
      <c r="B119" s="353">
        <f>(B6+B15+B25)/(B6+B15+B25+B34+'Domestic Mobile Financials'!B4)</f>
        <v>0.15837107215291862</v>
      </c>
      <c r="C119" s="353">
        <f>(C6+C15+C25)/(C6+C15+C25+C34+'Domestic Mobile Financials'!C4)</f>
        <v>0.16314746245646877</v>
      </c>
      <c r="D119" s="353">
        <f>(D6+D15+D25)/(D6+D15+D25+D34+'Domestic Mobile Financials'!D4)</f>
        <v>0.16170851800415967</v>
      </c>
      <c r="E119" s="353">
        <f>(E6+E15+E25)/(E6+E15+E25+E34+'Domestic Mobile Financials'!E4)</f>
        <v>0.17194579105507252</v>
      </c>
      <c r="F119" s="353">
        <f>(F6+F15+F25)/(F6+F15+F25+F34+'Domestic Mobile Financials'!F4)</f>
        <v>0.17894107527833436</v>
      </c>
      <c r="G119" s="353">
        <f>(G6+G15+G25)/(G6+G15+G25+G34+'Domestic Mobile Financials'!G4)</f>
        <v>0.18633822996079413</v>
      </c>
      <c r="H119" s="353">
        <f>(H6+H15+H25)/(H6+H15+H25+H34+'Domestic Mobile Financials'!H4)</f>
        <v>0.19206112903777448</v>
      </c>
      <c r="I119" s="353">
        <f>(I6+I15+I25)/(I6+I15+I25+I34+'Domestic Mobile Financials'!I4)</f>
        <v>0.18271338371306664</v>
      </c>
      <c r="J119" s="353">
        <f>(J6+J15+J25)/(J6+J15+J25+J34+'Domestic Mobile Financials'!J4)</f>
        <v>0.18070912237228712</v>
      </c>
      <c r="K119" s="353">
        <f>(K6+K15+K25)/(K6+K15+K25+K34+'Domestic Mobile Financials'!K4)</f>
        <v>0.20059763223000976</v>
      </c>
      <c r="L119" s="353">
        <f>(L6+L15+L25)/(L6+L15+L25+L34+'Domestic Mobile Financials'!L4)</f>
        <v>0.19595955072649465</v>
      </c>
      <c r="M119" s="353">
        <f>(M6+M15+M25)/(M6+M15+M25+M34+'Domestic Mobile Financials'!M4)</f>
        <v>0.19270828108767898</v>
      </c>
      <c r="N119" s="353">
        <f>(N6+N15+N25)/(N6+N15+N25+N34+'Domestic Mobile Financials'!N4)</f>
        <v>0.18855821675538917</v>
      </c>
      <c r="O119" s="353">
        <f>(O6+O15+O25)/(O6+O15+O25+O34+'Domestic Mobile Financials'!O4)</f>
        <v>0.19743143805787633</v>
      </c>
      <c r="P119" s="353">
        <f>(P6+P15+P25)/(P6+P15+P25+P34+'Domestic Mobile Financials'!P4)</f>
        <v>0.18770407308104142</v>
      </c>
      <c r="Q119" s="353">
        <f>(Q6+Q15+Q25)/(Q6+Q15+Q25+Q34+'Domestic Mobile Financials'!Q4)</f>
        <v>0.19356728726744932</v>
      </c>
      <c r="R119" s="372">
        <f>(R6+R15+R25)/(R6+R15+R25+R34+'Domestic Mobile Financials'!R4)</f>
        <v>0.19632297030313184</v>
      </c>
      <c r="S119" s="373">
        <f>(S6+S15+S25)/(S6+S15+S25+S34+'Domestic Mobile Financials'!S4)</f>
        <v>0.20256642196518429</v>
      </c>
      <c r="T119" s="373">
        <f>(T6+T15+T25)/(T6+T15+T25+T34+'Domestic Mobile Financials'!T4)</f>
        <v>0.19739159334289413</v>
      </c>
      <c r="U119" s="373">
        <f>(U6+U15+U25)/(U6+U15+U25+U34+'Domestic Mobile Financials'!U4)</f>
        <v>0.19164986738447101</v>
      </c>
      <c r="V119" s="373">
        <f>(V6+V15+V25)/(V6+V15+V25+V34+'Domestic Mobile Financials'!V4)</f>
        <v>0.20207049526443291</v>
      </c>
      <c r="W119" s="373">
        <f>(W6+W15+W25)/(W6+W15+W25+W34+'Domestic Mobile Financials'!W4)</f>
        <v>0.2187777498631987</v>
      </c>
      <c r="X119" s="373">
        <f>(X6+X15+X25)/(X6+X15+X25+X34+'Domestic Mobile Financials'!X4)</f>
        <v>0.21816098471919637</v>
      </c>
      <c r="Y119" s="373">
        <f>(Y6+Y15+Y25)/(Y6+Y15+Y25+Y34+'Domestic Mobile Financials'!Y4)</f>
        <v>0.2204474021947474</v>
      </c>
      <c r="Z119" s="373">
        <f>(Z6+Z15+Z25)/(Z6+Z15+Z25+Z34+'Domestic Mobile Financials'!Z4)</f>
        <v>0.23081152964277102</v>
      </c>
      <c r="AA119" s="373">
        <f>(AA6+AA15+AA25)/(AA6+AA15+AA25+AA34+'Domestic Mobile Financials'!AA4)</f>
        <v>0.24055769146751715</v>
      </c>
      <c r="AB119" s="373">
        <f>(AB6+AB15+AB25)/(AB6+AB15+AB25+AB34+'Domestic Mobile Financials'!AB4)</f>
        <v>0.26509050414665414</v>
      </c>
      <c r="AC119" s="373">
        <f>(AC6+AC15+AC25)/(AC6+AC15+AC25+AC34+'Domestic Mobile Financials'!AC4)</f>
        <v>0.26744187556955279</v>
      </c>
      <c r="AD119" s="373">
        <f>(AD6+AD15+AD25)/(AD6+AD15+AD25+AD34+'Domestic Mobile Financials'!AD4)</f>
        <v>0.2724456467982489</v>
      </c>
      <c r="AE119" s="373">
        <f>(AE6+AE15+AE25)/(AE6+AE15+AE25+AE34+'Domestic Mobile Financials'!AE4)</f>
        <v>0.29170113162541667</v>
      </c>
      <c r="AF119" s="374">
        <f>(AF6+AF15+AF25)/(AF6+AF15+AF25+AF34+'Domestic Mobile Financials'!AF4)</f>
        <v>0.28253671722326801</v>
      </c>
      <c r="AG119" s="374">
        <f>(AG6+AG15+AG25)/(AG6+AG15+AG25+AG34+'Domestic Mobile Financials'!AG4)</f>
        <v>0.27249442550629616</v>
      </c>
      <c r="AH119" s="374">
        <f>(AH6+AH15+AH25)/(AH6+AH15+AH25+AH34+'Domestic Mobile Financials'!AH4)</f>
        <v>0.26401868240924442</v>
      </c>
      <c r="AI119" s="374">
        <f>(AI6+AI15+AI25)/(AI6+AI15+AI25+AI34+'Domestic Mobile Financials'!AI4)</f>
        <v>0.26956481567033169</v>
      </c>
      <c r="AJ119" s="374">
        <f>(AJ6+AJ15+AJ25)/(AJ6+AJ15+AJ25+AJ34+'Domestic Mobile Financials'!AJ4)</f>
        <v>0.26660119063187637</v>
      </c>
      <c r="AK119" s="374">
        <f>(AK6+AK15+AK25)/(AK6+AK15+AK25+AK34+'Domestic Mobile Financials'!AK4)</f>
        <v>0.23724804002561364</v>
      </c>
      <c r="AL119" s="374">
        <f>(AL6+AL15+AL25)/(AL6+AL15+AL25+AL34+'Domestic Mobile Financials'!AL4)</f>
        <v>0.24944187247447416</v>
      </c>
      <c r="AM119" s="374">
        <f>(AM6+AM15+AM25)/(AM6+AM15+AM25+AM34+'Domestic Mobile Financials'!AM4)</f>
        <v>0.23994364426821416</v>
      </c>
      <c r="AN119" s="374">
        <f>(AN6+AN15+AN25)/(AN6+AN15+AN25+AN34+'Domestic Mobile Financials'!AN4)</f>
        <v>0.25196290536905913</v>
      </c>
      <c r="AO119" s="374">
        <f>(AO6+AO15+AO25)/(AO6+AO15+AO25+AO34+'Domestic Mobile Financials'!AO4)</f>
        <v>0.26476922717219542</v>
      </c>
      <c r="AP119" s="374">
        <f>(AP6+AP15+AP25)/(AP6+AP15+AP25+AP34+'Domestic Mobile Financials'!AP4)</f>
        <v>0.2685419351622213</v>
      </c>
      <c r="AQ119" s="374">
        <f>(AQ6+AQ15+AQ25)/(AQ6+AQ15+AQ25+AQ34+'Domestic Mobile Financials'!AQ4)</f>
        <v>0.26602020553405514</v>
      </c>
      <c r="AR119" s="374">
        <f>(AR6+AR15+AR25)/(AR6+AR15+AR25+AR34+'Domestic Mobile Financials'!AR4)</f>
        <v>0.26225837931224943</v>
      </c>
      <c r="AS119" s="374">
        <f>(AS6+AS15+AS25)/(AS6+AS15+AS25+AS34+'Domestic Mobile Financials'!AS4)</f>
        <v>0.24900846161581522</v>
      </c>
      <c r="AT119" s="374">
        <f>(AT6+AT15+AT25)/(AT6+AT15+AT25+AT34+'Domestic Mobile Financials'!AT4)</f>
        <v>0.24979689904925478</v>
      </c>
      <c r="AU119" s="374">
        <f>(AU6+AU15+AU25)/(AU6+AU15+AU25+AU34+'Domestic Mobile Financials'!AU4)</f>
        <v>0.25264529916644685</v>
      </c>
      <c r="AV119" s="374">
        <f>(AV6+AV15+AV25)/(AV6+AV15+AV25+AV34+'Domestic Mobile Financials'!AV4)</f>
        <v>0.25290570553996139</v>
      </c>
      <c r="AW119" s="374">
        <f>(AW6+AW15+AW25)/(AW6+AW15+AW25+AW34+'Domestic Mobile Financials'!AW4)</f>
        <v>0.25269998105022962</v>
      </c>
      <c r="AX119" s="374">
        <f>(AX6+AX15+AX25)/(AX6+AX15+AX25+AX34+'Domestic Mobile Financials'!AX4)</f>
        <v>0.25437268684774411</v>
      </c>
      <c r="AY119" s="374">
        <f>(AY6+AY15+AY25)/(AY6+AY15+AY25+AY34+'Domestic Mobile Financials'!AY4)</f>
        <v>0.25262658078096312</v>
      </c>
      <c r="AZ119" s="374">
        <f>(AZ6+AZ15+AZ25)/(AZ6+AZ15+AZ25+AZ34+'Domestic Mobile Financials'!AZ4)</f>
        <v>0.25097296835835542</v>
      </c>
      <c r="BA119" s="374">
        <f>(BA6+BA15+BA25)/(BA6+BA15+BA25+BA34+'Domestic Mobile Financials'!BA4)</f>
        <v>0.25484327273288276</v>
      </c>
      <c r="BB119" s="374">
        <f>(BB6+BB15+BB25)/(BB6+BB15+BB25+BB34+'Domestic Mobile Financials'!BB4)</f>
        <v>0.25277265122376114</v>
      </c>
      <c r="BC119" s="374">
        <f>(BC6+BC15+BC25)/(BC6+BC15+BC25+BC34+'Domestic Mobile Financials'!BC4)</f>
        <v>0.24006755743759045</v>
      </c>
      <c r="BD119" s="4"/>
      <c r="BE119" s="2"/>
      <c r="BF119" s="3"/>
    </row>
    <row r="120" spans="1:58" s="193" customFormat="1">
      <c r="A120" s="2"/>
      <c r="B120" s="353"/>
      <c r="C120" s="353"/>
      <c r="D120" s="353"/>
      <c r="E120" s="353"/>
      <c r="F120" s="353"/>
      <c r="G120" s="353"/>
      <c r="H120" s="353"/>
      <c r="I120" s="353"/>
      <c r="J120" s="353"/>
      <c r="K120" s="353"/>
      <c r="L120" s="353"/>
      <c r="M120" s="353"/>
      <c r="N120" s="353"/>
      <c r="O120" s="353"/>
      <c r="P120" s="353"/>
      <c r="Q120" s="353"/>
      <c r="R120" s="353"/>
      <c r="S120" s="353"/>
      <c r="T120" s="354"/>
      <c r="U120" s="354"/>
      <c r="V120" s="354"/>
      <c r="W120" s="354"/>
      <c r="X120" s="354"/>
      <c r="Y120" s="354"/>
      <c r="Z120" s="354"/>
      <c r="AA120" s="354"/>
      <c r="AB120" s="354"/>
      <c r="AC120" s="354"/>
      <c r="AD120" s="354"/>
      <c r="AE120" s="354"/>
      <c r="AF120" s="327"/>
      <c r="AG120" s="327"/>
      <c r="AH120" s="327"/>
      <c r="AI120" s="327"/>
      <c r="AJ120" s="327"/>
      <c r="AK120" s="327"/>
      <c r="AL120" s="327"/>
      <c r="AM120" s="327"/>
      <c r="AN120" s="327"/>
      <c r="AO120" s="327"/>
      <c r="AP120" s="327"/>
      <c r="AQ120" s="327"/>
      <c r="AR120" s="327"/>
      <c r="AS120" s="327"/>
      <c r="AT120" s="327"/>
      <c r="AU120" s="327"/>
      <c r="AV120" s="327"/>
      <c r="AW120" s="327"/>
      <c r="AX120" s="327"/>
      <c r="AY120" s="327"/>
      <c r="AZ120" s="327"/>
      <c r="BA120" s="327"/>
      <c r="BB120" s="327"/>
      <c r="BC120" s="327"/>
      <c r="BD120" s="4"/>
      <c r="BE120" s="2"/>
      <c r="BF120" s="3"/>
    </row>
    <row r="121" spans="1:58">
      <c r="A121" s="106" t="s">
        <v>536</v>
      </c>
      <c r="B121" s="353">
        <f>(B7+B16+B26)/'Revenue, EBITDA, capex breakout'!B25</f>
        <v>0.11575780760937608</v>
      </c>
      <c r="C121" s="353">
        <f>(C7+C16+C26)/'Revenue, EBITDA, capex breakout'!C25</f>
        <v>0.11521727915255112</v>
      </c>
      <c r="D121" s="353">
        <f>(D7+D16+D26)/'Revenue, EBITDA, capex breakout'!D25</f>
        <v>9.4656283566058E-2</v>
      </c>
      <c r="E121" s="353">
        <f>(E7+E16+E26)/'Revenue, EBITDA, capex breakout'!E25</f>
        <v>9.0105826918448997E-2</v>
      </c>
      <c r="F121" s="353">
        <f>(F7+F16+F26)/'Revenue, EBITDA, capex breakout'!F25</f>
        <v>0.10479853835496572</v>
      </c>
      <c r="G121" s="353">
        <f>(G7+G16+G26)/'Revenue, EBITDA, capex breakout'!G25</f>
        <v>0.10476796560494535</v>
      </c>
      <c r="H121" s="353">
        <f>(H7+H16+H26)/'Revenue, EBITDA, capex breakout'!H25</f>
        <v>0.10688635553615038</v>
      </c>
      <c r="I121" s="353">
        <f>(I7+I16+I26)/'Revenue, EBITDA, capex breakout'!I25</f>
        <v>0.11915693424530249</v>
      </c>
      <c r="J121" s="353">
        <f>(J7+J16+J26)/'Revenue, EBITDA, capex breakout'!J25</f>
        <v>0.11137285663646504</v>
      </c>
      <c r="K121" s="353">
        <f>(K7+K16+K26)/'Revenue, EBITDA, capex breakout'!K25</f>
        <v>0.10984132386821033</v>
      </c>
      <c r="L121" s="353">
        <f>(L7+L16+L26)/'Revenue, EBITDA, capex breakout'!L25</f>
        <v>0.12227771008083821</v>
      </c>
      <c r="M121" s="353">
        <f>(M7+M16+M26)/'Revenue, EBITDA, capex breakout'!M25</f>
        <v>0.11533363016150647</v>
      </c>
      <c r="N121" s="353">
        <f>(N7+N16+N26)/'Revenue, EBITDA, capex breakout'!N25</f>
        <v>0.11080779554262316</v>
      </c>
      <c r="O121" s="353">
        <f>(O7+O16+O26)/'Revenue, EBITDA, capex breakout'!O25</f>
        <v>0.13080759663406563</v>
      </c>
      <c r="P121" s="353">
        <f>(P7+P16+P26)/'Revenue, EBITDA, capex breakout'!P25</f>
        <v>0.12368302891226862</v>
      </c>
      <c r="Q121" s="353">
        <f>(Q7+Q16+Q26)/'Revenue, EBITDA, capex breakout'!Q25</f>
        <v>0.12821548369275843</v>
      </c>
      <c r="R121" s="353">
        <f>(R7+R16+R26)/'Revenue, EBITDA, capex breakout'!R25</f>
        <v>0.14309223570209528</v>
      </c>
      <c r="S121" s="353">
        <f>(S7+S16+S26)/'Revenue, EBITDA, capex breakout'!S25</f>
        <v>0.15536720384015101</v>
      </c>
      <c r="T121" s="354">
        <f>(T7+T16+T26)/'Revenue, EBITDA, capex breakout'!T25</f>
        <v>0.14981043485391973</v>
      </c>
      <c r="U121" s="354">
        <f>(U7+U16+U26)/'Revenue, EBITDA, capex breakout'!U25</f>
        <v>0.1479209096795962</v>
      </c>
      <c r="V121" s="354">
        <f>(V7+V16+V26)/'Revenue, EBITDA, capex breakout'!V25</f>
        <v>0.14239584821661294</v>
      </c>
      <c r="W121" s="354">
        <f>(W7+W16+W26)/'Revenue, EBITDA, capex breakout'!W25</f>
        <v>0.15652564522411333</v>
      </c>
      <c r="X121" s="354">
        <f>(X7+X16+X26)/'Revenue, EBITDA, capex breakout'!X25</f>
        <v>0.17183022549167468</v>
      </c>
      <c r="Y121" s="354">
        <f>(Y7+Y16+Y26)/'Revenue, EBITDA, capex breakout'!Y25</f>
        <v>0.1989254357648757</v>
      </c>
      <c r="Z121" s="354">
        <f>(Z7+Z16+Z26)/'Revenue, EBITDA, capex breakout'!Z25</f>
        <v>0.20013356875433011</v>
      </c>
      <c r="AA121" s="354">
        <f>(AA7+AA16+AA26)/'Revenue, EBITDA, capex breakout'!AA25</f>
        <v>0.20131938978222572</v>
      </c>
      <c r="AB121" s="354">
        <f>(AB7+AB16+AB26)/'Revenue, EBITDA, capex breakout'!AB25</f>
        <v>0.24296973003536274</v>
      </c>
      <c r="AC121" s="354">
        <f>(AC7+AC16+AC26)/'Revenue, EBITDA, capex breakout'!AC25</f>
        <v>0.25761425116987263</v>
      </c>
      <c r="AD121" s="354">
        <f>(AD7+AD16+AD26)/'Revenue, EBITDA, capex breakout'!AD25</f>
        <v>0.25296105525651608</v>
      </c>
      <c r="AE121" s="354">
        <f>(AE7+AE16+AE26)/'Revenue, EBITDA, capex breakout'!AE25</f>
        <v>0.27826478476204786</v>
      </c>
      <c r="AF121" s="327">
        <f>(AF7+AF16+AF26)/'Revenue, EBITDA, capex breakout'!AF25</f>
        <v>0.25818312363300494</v>
      </c>
      <c r="AG121" s="327">
        <f>(AG7+AG16+AG26)/'Revenue, EBITDA, capex breakout'!AG25</f>
        <v>0.23452962706163391</v>
      </c>
      <c r="AH121" s="327">
        <f>(AH7+AH16+AH26)/'Revenue, EBITDA, capex breakout'!AH25</f>
        <v>0.1818314239200246</v>
      </c>
      <c r="AI121" s="327">
        <f>(AI7+AI16+AI26)/'Revenue, EBITDA, capex breakout'!AI25</f>
        <v>0.19520383156339871</v>
      </c>
      <c r="AJ121" s="327">
        <f>(AJ7+AJ16+AJ26)/'Revenue, EBITDA, capex breakout'!AJ25</f>
        <v>0.22318733594680804</v>
      </c>
      <c r="AK121" s="327">
        <f>(AK7+AK16+AK26)/'Revenue, EBITDA, capex breakout'!AK25</f>
        <v>0.20618844765944749</v>
      </c>
      <c r="AL121" s="327">
        <f>(AL7+AL16+AL26)/'Revenue, EBITDA, capex breakout'!AL25</f>
        <v>0.21016648028656681</v>
      </c>
      <c r="AM121" s="327">
        <f>(AM7+AM16+AM26)/'Revenue, EBITDA, capex breakout'!AM25</f>
        <v>0.19675028811761078</v>
      </c>
      <c r="AN121" s="327">
        <f>(AN7+AN16+AN26)/'Revenue, EBITDA, capex breakout'!AN25</f>
        <v>0.18443771358382446</v>
      </c>
      <c r="AO121" s="327">
        <f>(AO7+AO16+AO26)/'Revenue, EBITDA, capex breakout'!AO25</f>
        <v>0.18530154702204601</v>
      </c>
      <c r="AP121" s="327">
        <f>(AP7+AP16+AP26)/'Revenue, EBITDA, capex breakout'!AP25</f>
        <v>0.17692358815431333</v>
      </c>
      <c r="AQ121" s="327">
        <f>(AQ7+AQ16+AQ26)/'Revenue, EBITDA, capex breakout'!AQ25</f>
        <v>0.17845295590574772</v>
      </c>
      <c r="AR121" s="327">
        <f>(AR7+AR16+AR26)/'Revenue, EBITDA, capex breakout'!AR25</f>
        <v>0.17108748243028701</v>
      </c>
      <c r="AS121" s="327">
        <f>(AS7+AS16+AS26)/'Revenue, EBITDA, capex breakout'!AS25</f>
        <v>0.16361999973825495</v>
      </c>
      <c r="AT121" s="327">
        <f>(AT7+AT16+AT26)/'Revenue, EBITDA, capex breakout'!AT25</f>
        <v>0.16090645330295456</v>
      </c>
      <c r="AU121" s="327">
        <f>(AU7+AU16+AU26)/'Revenue, EBITDA, capex breakout'!AU25</f>
        <v>0.15590440713352935</v>
      </c>
      <c r="AV121" s="327">
        <f>(AV7+AV16+AV26)/'Revenue, EBITDA, capex breakout'!AV25</f>
        <v>0.15243811719112979</v>
      </c>
      <c r="AW121" s="327">
        <f>(AW7+AW16+AW26)/'Revenue, EBITDA, capex breakout'!AW25</f>
        <v>0.15572977847793909</v>
      </c>
      <c r="AX121" s="327">
        <f>(AX7+AX16+AX26)/'Revenue, EBITDA, capex breakout'!AX25</f>
        <v>0.15245324829882353</v>
      </c>
      <c r="AY121" s="327">
        <f>(AY7+AY16+AY26)/'Revenue, EBITDA, capex breakout'!AY25</f>
        <v>0.15694547223313243</v>
      </c>
      <c r="AZ121" s="327">
        <f>(AZ7+AZ16+AZ26)/'Revenue, EBITDA, capex breakout'!AZ25</f>
        <v>0.15612308321907684</v>
      </c>
      <c r="BA121" s="327">
        <f>(BA7+BA16+BA26)/'Revenue, EBITDA, capex breakout'!BA25</f>
        <v>0.16225633200330999</v>
      </c>
      <c r="BB121" s="327">
        <f>(BB7+BB16+BB26)/'Revenue, EBITDA, capex breakout'!BB25</f>
        <v>0.15605539455079673</v>
      </c>
      <c r="BC121" s="327">
        <f>(BC7+BC16+BC26)/'Revenue, EBITDA, capex breakout'!BC25</f>
        <v>0.14374526018464276</v>
      </c>
      <c r="BD121" s="4"/>
      <c r="BE121" s="2"/>
      <c r="BF121" s="2"/>
    </row>
    <row r="122" spans="1:58">
      <c r="A122" s="106" t="s">
        <v>535</v>
      </c>
      <c r="B122" s="353">
        <f>(B7+B16+B26)/('Revenue, EBITDA, capex breakout'!B25-'International Financials'!B7-'International Financials'!B20)</f>
        <v>0.14312497043760938</v>
      </c>
      <c r="C122" s="353">
        <f>(C7+C16+C26)/('Revenue, EBITDA, capex breakout'!C25-'International Financials'!C7-'International Financials'!C20)</f>
        <v>0.14582018412518771</v>
      </c>
      <c r="D122" s="353">
        <f>(D7+D16+D26)/('Revenue, EBITDA, capex breakout'!D25-'International Financials'!D7-'International Financials'!D20)</f>
        <v>0.12477324012211849</v>
      </c>
      <c r="E122" s="353">
        <f>(E7+E16+E26)/('Revenue, EBITDA, capex breakout'!E25-'International Financials'!E7-'International Financials'!E20)</f>
        <v>0.11901111844307993</v>
      </c>
      <c r="F122" s="353">
        <f>(F7+F16+F26)/('Revenue, EBITDA, capex breakout'!F25-'International Financials'!F7-'International Financials'!F20)</f>
        <v>0.14216401948662147</v>
      </c>
      <c r="G122" s="353">
        <f>(G7+G16+G26)/('Revenue, EBITDA, capex breakout'!G25-'International Financials'!G7-'International Financials'!G20)</f>
        <v>0.14295658074673348</v>
      </c>
      <c r="H122" s="353">
        <f>(H7+H16+H26)/('Revenue, EBITDA, capex breakout'!H25-'International Financials'!H7-'International Financials'!H20)</f>
        <v>0.14543214020110459</v>
      </c>
      <c r="I122" s="353">
        <f>(I7+I16+I26)/('Revenue, EBITDA, capex breakout'!I25-'International Financials'!I7-'International Financials'!I20)</f>
        <v>0.15906871053138008</v>
      </c>
      <c r="J122" s="353">
        <f>(J7+J16+J26)/('Revenue, EBITDA, capex breakout'!J25-'International Financials'!J7-'International Financials'!J20)</f>
        <v>0.14759745189989454</v>
      </c>
      <c r="K122" s="353">
        <f>(K7+K16+K26)/('Revenue, EBITDA, capex breakout'!K25-'International Financials'!K7-'International Financials'!K20)</f>
        <v>0.1529873263198949</v>
      </c>
      <c r="L122" s="353">
        <f>(L7+L16+L26)/('Revenue, EBITDA, capex breakout'!L25-'International Financials'!L7-'International Financials'!L20)</f>
        <v>0.16684009663198182</v>
      </c>
      <c r="M122" s="353">
        <f>(M7+M16+M26)/('Revenue, EBITDA, capex breakout'!M25-'International Financials'!M7-'International Financials'!M20)</f>
        <v>0.15335614586168675</v>
      </c>
      <c r="N122" s="353">
        <f>(N7+N16+N26)/('Revenue, EBITDA, capex breakout'!N25-'International Financials'!N7-'International Financials'!N20)</f>
        <v>0.14230521140632871</v>
      </c>
      <c r="O122" s="353">
        <f>(O7+O16+O26)/('Revenue, EBITDA, capex breakout'!O25-'International Financials'!O7-'International Financials'!O20)</f>
        <v>0.16596710515053048</v>
      </c>
      <c r="P122" s="353">
        <f>(P7+P16+P26)/('Revenue, EBITDA, capex breakout'!P25-'International Financials'!P7-'International Financials'!P20)</f>
        <v>0.15223879229782641</v>
      </c>
      <c r="Q122" s="353">
        <f>(Q7+Q16+Q26)/('Revenue, EBITDA, capex breakout'!Q25-'International Financials'!Q7-'International Financials'!Q20)</f>
        <v>0.15208623830546511</v>
      </c>
      <c r="R122" s="353">
        <f>(R7+R16+R26)/('Revenue, EBITDA, capex breakout'!R25-'International Financials'!R7-'International Financials'!R20)</f>
        <v>0.1678789485850021</v>
      </c>
      <c r="S122" s="353">
        <f>(S7+S16+S26)/('Revenue, EBITDA, capex breakout'!S25-'International Financials'!S7-'International Financials'!S20)</f>
        <v>0.18292853979862381</v>
      </c>
      <c r="T122" s="354">
        <f>(T7+T16+T26)/('Revenue, EBITDA, capex breakout'!T25-'International Financials'!T7-'International Financials'!T20)</f>
        <v>0.17674759880211122</v>
      </c>
      <c r="U122" s="354">
        <f>(U7+U16+U26)/('Revenue, EBITDA, capex breakout'!U25-'International Financials'!U7-'International Financials'!U20)</f>
        <v>0.17568499292061551</v>
      </c>
      <c r="V122" s="354">
        <f>(V7+V16+V26)/('Revenue, EBITDA, capex breakout'!V25-'International Financials'!V7-'International Financials'!V20)</f>
        <v>0.16667708993448446</v>
      </c>
      <c r="W122" s="354">
        <f>(W7+W16+W26)/('Revenue, EBITDA, capex breakout'!W25-'International Financials'!W7-'International Financials'!W20)</f>
        <v>0.18024473738293847</v>
      </c>
      <c r="X122" s="354">
        <f>(X7+X16+X26)/('Revenue, EBITDA, capex breakout'!X25-'International Financials'!X7-'International Financials'!X20)</f>
        <v>0.20285294929067491</v>
      </c>
      <c r="Y122" s="354">
        <f>(Y7+Y16+Y26)/('Revenue, EBITDA, capex breakout'!Y25-'International Financials'!Y7-'International Financials'!Y20)</f>
        <v>0.23741305828041201</v>
      </c>
      <c r="Z122" s="354">
        <f>(Z7+Z16+Z26)/('Revenue, EBITDA, capex breakout'!Z25-'International Financials'!Z7-'International Financials'!Z20)</f>
        <v>0.24207392383683021</v>
      </c>
      <c r="AA122" s="354">
        <f>(AA7+AA16+AA26)/('Revenue, EBITDA, capex breakout'!AA25-'International Financials'!AA7-'International Financials'!AA20)</f>
        <v>0.25479932951706252</v>
      </c>
      <c r="AB122" s="354">
        <f>(AB7+AB16+AB26)/('Revenue, EBITDA, capex breakout'!AB25-'International Financials'!AB7-'International Financials'!AB20)</f>
        <v>0.3196805163113059</v>
      </c>
      <c r="AC122" s="354">
        <f>(AC7+AC16+AC26)/('Revenue, EBITDA, capex breakout'!AC25-'International Financials'!AC7-'International Financials'!AC20)</f>
        <v>0.34573347919301112</v>
      </c>
      <c r="AD122" s="354">
        <f>(AD7+AD16+AD26)/('Revenue, EBITDA, capex breakout'!AD25-'International Financials'!BD7-'International Financials'!BD20)</f>
        <v>0.25296105525651608</v>
      </c>
      <c r="AE122" s="354">
        <f>(AE7+AE16+AE26)/('Revenue, EBITDA, capex breakout'!AE25-'International Financials'!BE7-'International Financials'!BE20)</f>
        <v>0.27826478476204786</v>
      </c>
      <c r="AF122" s="327">
        <f>(AF7+AF16+AF26)/('Revenue, EBITDA, capex breakout'!AF25-'International Financials'!BF7-'International Financials'!BF20)</f>
        <v>0.25818312363300494</v>
      </c>
      <c r="AG122" s="327">
        <f>(AG7+AG16+AG26)/('Revenue, EBITDA, capex breakout'!AG25-'International Financials'!BG7-'International Financials'!BG20)</f>
        <v>0.23452962706163391</v>
      </c>
      <c r="AH122" s="327">
        <f>(AH7+AH16+AH26)/('Revenue, EBITDA, capex breakout'!AH25-'International Financials'!BH7-'International Financials'!BH20)</f>
        <v>0.1818314239200246</v>
      </c>
      <c r="AI122" s="327">
        <f>(AI7+AI16+AI26)/('Revenue, EBITDA, capex breakout'!AI25-'International Financials'!BI7-'International Financials'!BI20)</f>
        <v>0.19520383156339871</v>
      </c>
      <c r="AJ122" s="327">
        <f>(AJ7+AJ16+AJ26)/('Revenue, EBITDA, capex breakout'!AJ25-'International Financials'!BJ7-'International Financials'!BJ20)</f>
        <v>0.22318733594680804</v>
      </c>
      <c r="AK122" s="327">
        <f>(AK7+AK16+AK26)/('Revenue, EBITDA, capex breakout'!AK25-'International Financials'!BK7-'International Financials'!BK20)</f>
        <v>0.20618844765944749</v>
      </c>
      <c r="AL122" s="327">
        <f>(AL7+AL16+AL26)/('Revenue, EBITDA, capex breakout'!AL25-'International Financials'!BL7-'International Financials'!BL20)</f>
        <v>0.21016648028656681</v>
      </c>
      <c r="AM122" s="327">
        <f>(AM7+AM16+AM26)/('Revenue, EBITDA, capex breakout'!AM25-'International Financials'!BM7-'International Financials'!BM20)</f>
        <v>0.19675028811761078</v>
      </c>
      <c r="AN122" s="327">
        <f>(AN7+AN16+AN26)/('Revenue, EBITDA, capex breakout'!AN25-'International Financials'!BN7-'International Financials'!BN20)</f>
        <v>0.18443771358382446</v>
      </c>
      <c r="AO122" s="327">
        <f>(AO7+AO16+AO26)/('Revenue, EBITDA, capex breakout'!AO25-'International Financials'!BO7-'International Financials'!BO20)</f>
        <v>0.18530154702204601</v>
      </c>
      <c r="AP122" s="327">
        <f>(AP7+AP16+AP26)/('Revenue, EBITDA, capex breakout'!AP25-'International Financials'!BP7-'International Financials'!BP20)</f>
        <v>0.17692358815431333</v>
      </c>
      <c r="AQ122" s="327">
        <f>(AQ7+AQ16+AQ26)/('Revenue, EBITDA, capex breakout'!AQ25-'International Financials'!BQ7-'International Financials'!BQ20)</f>
        <v>0.17845295590574772</v>
      </c>
      <c r="AR122" s="327">
        <f>(AR7+AR16+AR26)/('Revenue, EBITDA, capex breakout'!AR25-'International Financials'!BR7-'International Financials'!BR20)</f>
        <v>0.17108748243028701</v>
      </c>
      <c r="AS122" s="327">
        <f>(AS7+AS16+AS26)/('Revenue, EBITDA, capex breakout'!AS25-'International Financials'!BS7-'International Financials'!BS20)</f>
        <v>0.16361999973825495</v>
      </c>
      <c r="AT122" s="327">
        <f>(AT7+AT16+AT26)/('Revenue, EBITDA, capex breakout'!AT25-'International Financials'!BT7-'International Financials'!BT20)</f>
        <v>0.16090645330295456</v>
      </c>
      <c r="AU122" s="327">
        <f>(AU7+AU16+AU26)/('Revenue, EBITDA, capex breakout'!AU25-'International Financials'!BU7-'International Financials'!BU20)</f>
        <v>0.15590440713352935</v>
      </c>
      <c r="AV122" s="327">
        <f>(AV7+AV16+AV26)/('Revenue, EBITDA, capex breakout'!AV25-'International Financials'!BV7-'International Financials'!BV20)</f>
        <v>0.15243811719112979</v>
      </c>
      <c r="AW122" s="327">
        <f>(AW7+AW16+AW26)/('Revenue, EBITDA, capex breakout'!AW25-'International Financials'!BW7-'International Financials'!BW20)</f>
        <v>0.15572977847793909</v>
      </c>
      <c r="AX122" s="327">
        <f>(AX7+AX16+AX26)/('Revenue, EBITDA, capex breakout'!AX25-'International Financials'!BX7-'International Financials'!BX20)</f>
        <v>0.15245324829882353</v>
      </c>
      <c r="AY122" s="327">
        <f>(AY7+AY16+AY26)/('Revenue, EBITDA, capex breakout'!AY25-'International Financials'!BY7-'International Financials'!BY20)</f>
        <v>0.15694547223313243</v>
      </c>
      <c r="AZ122" s="327">
        <f>(AZ7+AZ16+AZ26)/('Revenue, EBITDA, capex breakout'!AZ25-'International Financials'!BZ7-'International Financials'!BZ20)</f>
        <v>0.15612308321907684</v>
      </c>
      <c r="BA122" s="327">
        <f>(BA7+BA16+BA26)/('Revenue, EBITDA, capex breakout'!BA25-'International Financials'!CA7-'International Financials'!CA20)</f>
        <v>0.16225633200330999</v>
      </c>
      <c r="BB122" s="327">
        <f>(BB7+BB16+BB26)/('Revenue, EBITDA, capex breakout'!BB25-'International Financials'!CB7-'International Financials'!CB20)</f>
        <v>0.15605539455079673</v>
      </c>
      <c r="BC122" s="327">
        <f>(BC7+BC16+BC26)/('Revenue, EBITDA, capex breakout'!BC25-'International Financials'!CC7-'International Financials'!CC20)</f>
        <v>0.14374526018464276</v>
      </c>
      <c r="BD122" s="4"/>
      <c r="BE122" s="2"/>
      <c r="BF122" s="2"/>
    </row>
    <row r="123" spans="1:58">
      <c r="A123" s="2"/>
      <c r="B123" s="353"/>
      <c r="C123" s="353"/>
      <c r="D123" s="353"/>
      <c r="E123" s="353"/>
      <c r="F123" s="353"/>
      <c r="G123" s="353"/>
      <c r="H123" s="353"/>
      <c r="I123" s="353"/>
      <c r="J123" s="353"/>
      <c r="K123" s="353"/>
      <c r="L123" s="353"/>
      <c r="M123" s="353"/>
      <c r="N123" s="353"/>
      <c r="O123" s="353"/>
      <c r="P123" s="353"/>
      <c r="Q123" s="353"/>
      <c r="R123" s="353"/>
      <c r="S123" s="353"/>
      <c r="T123" s="354"/>
      <c r="U123" s="354"/>
      <c r="V123" s="354"/>
      <c r="W123" s="354"/>
      <c r="X123" s="354"/>
      <c r="Y123" s="354"/>
      <c r="Z123" s="354"/>
      <c r="AA123" s="354"/>
      <c r="AB123" s="354"/>
      <c r="AC123" s="354"/>
      <c r="AD123" s="354"/>
      <c r="AE123" s="354"/>
      <c r="AF123" s="327"/>
      <c r="AG123" s="327"/>
      <c r="AH123" s="327"/>
      <c r="AI123" s="327"/>
      <c r="AJ123" s="327"/>
      <c r="AK123" s="327"/>
      <c r="AL123" s="327"/>
      <c r="AM123" s="327"/>
      <c r="AN123" s="327"/>
      <c r="AO123" s="327"/>
      <c r="AP123" s="327"/>
      <c r="AQ123" s="327"/>
      <c r="AR123" s="327"/>
      <c r="AS123" s="327"/>
      <c r="AT123" s="327"/>
      <c r="AU123" s="327"/>
      <c r="AV123" s="327"/>
      <c r="AW123" s="327"/>
      <c r="AX123" s="327"/>
      <c r="AY123" s="327"/>
      <c r="AZ123" s="327"/>
      <c r="BA123" s="327"/>
      <c r="BB123" s="327"/>
      <c r="BC123" s="327"/>
      <c r="BD123" s="4"/>
      <c r="BE123" s="2"/>
      <c r="BF123" s="2"/>
    </row>
    <row r="124" spans="1:58">
      <c r="A124" s="106" t="s">
        <v>531</v>
      </c>
      <c r="B124" s="353">
        <f t="shared" ref="B124:Y124" si="258">(B10+B19+B29)/(B6+B15+B25)</f>
        <v>0.30963554230077628</v>
      </c>
      <c r="C124" s="353">
        <f t="shared" si="258"/>
        <v>0.17186247627082893</v>
      </c>
      <c r="D124" s="353">
        <f t="shared" si="258"/>
        <v>0.18100756081525313</v>
      </c>
      <c r="E124" s="353">
        <f t="shared" si="258"/>
        <v>0.117592672966338</v>
      </c>
      <c r="F124" s="353">
        <f t="shared" si="258"/>
        <v>0.21946745946942267</v>
      </c>
      <c r="G124" s="353">
        <f t="shared" si="258"/>
        <v>0.1306461874921524</v>
      </c>
      <c r="H124" s="353">
        <f t="shared" si="258"/>
        <v>0.13304957699654621</v>
      </c>
      <c r="I124" s="353">
        <f t="shared" si="258"/>
        <v>0.13295652512009765</v>
      </c>
      <c r="J124" s="353">
        <f t="shared" si="258"/>
        <v>0.11189999822038603</v>
      </c>
      <c r="K124" s="353">
        <f t="shared" si="258"/>
        <v>6.3018724030424203E-2</v>
      </c>
      <c r="L124" s="353">
        <f t="shared" si="258"/>
        <v>6.9168327894861173E-2</v>
      </c>
      <c r="M124" s="353">
        <f t="shared" si="258"/>
        <v>0.13800116452210665</v>
      </c>
      <c r="N124" s="353">
        <f t="shared" si="258"/>
        <v>0.10483195328042665</v>
      </c>
      <c r="O124" s="353">
        <f t="shared" si="258"/>
        <v>0.10480907822365733</v>
      </c>
      <c r="P124" s="353">
        <f t="shared" si="258"/>
        <v>0.10945858105791245</v>
      </c>
      <c r="Q124" s="353">
        <f t="shared" si="258"/>
        <v>9.5165203451136854E-2</v>
      </c>
      <c r="R124" s="353">
        <f t="shared" si="258"/>
        <v>0.10646237897243413</v>
      </c>
      <c r="S124" s="353">
        <f t="shared" si="258"/>
        <v>0.11980862798808092</v>
      </c>
      <c r="T124" s="354">
        <f t="shared" si="258"/>
        <v>0.19131713553321167</v>
      </c>
      <c r="U124" s="354">
        <f t="shared" si="258"/>
        <v>0.1356952145493277</v>
      </c>
      <c r="V124" s="354">
        <f t="shared" si="258"/>
        <v>0.15637427333854634</v>
      </c>
      <c r="W124" s="354">
        <f t="shared" si="258"/>
        <v>0.13669825972808583</v>
      </c>
      <c r="X124" s="354">
        <f t="shared" si="258"/>
        <v>0.13426932630679331</v>
      </c>
      <c r="Y124" s="354">
        <f t="shared" si="258"/>
        <v>0.13650079915945096</v>
      </c>
      <c r="Z124" s="354">
        <f t="shared" ref="Z124:AA124" si="259">(Z10+Z19+Z29)/(Z6+Z15+Z25)</f>
        <v>0.15796781642161239</v>
      </c>
      <c r="AA124" s="354">
        <f t="shared" si="259"/>
        <v>0.14352198687824921</v>
      </c>
      <c r="AB124" s="354">
        <f t="shared" ref="AB124:AC124" si="260">(AB10+AB19+AB29)/(AB6+AB15+AB25)</f>
        <v>0.14237657282393576</v>
      </c>
      <c r="AC124" s="354">
        <f t="shared" si="260"/>
        <v>0.17231204450724419</v>
      </c>
      <c r="AD124" s="354">
        <f t="shared" ref="AD124:AE124" si="261">(AD10+AD19+AD29)/(AD6+AD15+AD25)</f>
        <v>0.1124588853024819</v>
      </c>
      <c r="AE124" s="354">
        <f t="shared" si="261"/>
        <v>0.13289924160580677</v>
      </c>
      <c r="AF124" s="327">
        <f t="shared" ref="AF124:AG124" si="262">(AF10+AF19+AF29)/(AF6+AF15+AF25)</f>
        <v>0.3055210027656251</v>
      </c>
      <c r="AG124" s="327">
        <f t="shared" si="262"/>
        <v>0.1027098488801711</v>
      </c>
      <c r="AH124" s="327">
        <f t="shared" ref="AH124:AI124" si="263">(AH10+AH19+AH29)/(AH6+AH15+AH25)</f>
        <v>0.10538604747517918</v>
      </c>
      <c r="AI124" s="327">
        <f t="shared" si="263"/>
        <v>0.12200085689802913</v>
      </c>
      <c r="AJ124" s="327">
        <f t="shared" ref="AJ124:AK124" si="264">(AJ10+AJ19+AJ29)/(AJ6+AJ15+AJ25)</f>
        <v>0.29580225307545643</v>
      </c>
      <c r="AK124" s="327">
        <f t="shared" si="264"/>
        <v>0.4899073165229369</v>
      </c>
      <c r="AL124" s="327">
        <f t="shared" ref="AL124:AM124" si="265">(AL10+AL19+AL29)/(AL6+AL15+AL25)</f>
        <v>0.16220043864713252</v>
      </c>
      <c r="AM124" s="327">
        <f t="shared" si="265"/>
        <v>0.24559207642684636</v>
      </c>
      <c r="AN124" s="327">
        <f t="shared" ref="AN124" si="266">(AN10+AN19+AN29)/(AN6+AN15+AN25)</f>
        <v>0.23835609515303727</v>
      </c>
      <c r="AO124" s="327">
        <f t="shared" ref="AO124:AP124" si="267">(AO10+AO19+AO29)/(AO6+AO15+AO25)</f>
        <v>0.27653536722422672</v>
      </c>
      <c r="AP124" s="327">
        <f t="shared" si="267"/>
        <v>0.25496326868839408</v>
      </c>
      <c r="AQ124" s="327">
        <f t="shared" ref="AQ124:AR124" si="268">(AQ10+AQ19+AQ29)/(AQ6+AQ15+AQ25)</f>
        <v>0.21251748124738917</v>
      </c>
      <c r="AR124" s="327">
        <f t="shared" si="268"/>
        <v>0.2951098758470212</v>
      </c>
      <c r="AS124" s="327">
        <f t="shared" ref="AS124:AT124" si="269">(AS10+AS19+AS29)/(AS6+AS15+AS25)</f>
        <v>0.28547309274280536</v>
      </c>
      <c r="AT124" s="327">
        <f t="shared" si="269"/>
        <v>0.263804843432558</v>
      </c>
      <c r="AU124" s="327">
        <f t="shared" ref="AU124:AV124" si="270">(AU10+AU19+AU29)/(AU6+AU15+AU25)</f>
        <v>0.27779452288950024</v>
      </c>
      <c r="AV124" s="327">
        <f t="shared" si="270"/>
        <v>0.26194333922424712</v>
      </c>
      <c r="AW124" s="327">
        <f t="shared" ref="AW124:AY124" si="271">(AW10+AW19+AW29)/(AW6+AW15+AW25)</f>
        <v>0.3543264813598398</v>
      </c>
      <c r="AX124" s="327">
        <f t="shared" si="271"/>
        <v>0.21529556834196423</v>
      </c>
      <c r="AY124" s="327">
        <f t="shared" si="271"/>
        <v>0.29548726887978127</v>
      </c>
      <c r="AZ124" s="327">
        <f t="shared" ref="AZ124:BA124" si="272">(AZ10+AZ19+AZ29)/(AZ6+AZ15+AZ25)</f>
        <v>0.27700178866791686</v>
      </c>
      <c r="BA124" s="327">
        <f t="shared" si="272"/>
        <v>0.32876624711695107</v>
      </c>
      <c r="BB124" s="327">
        <f t="shared" ref="BB124:BC124" si="273">(BB10+BB19+BB29)/(BB6+BB15+BB25)</f>
        <v>0.25366820832121401</v>
      </c>
      <c r="BC124" s="327">
        <f t="shared" si="273"/>
        <v>0.28954029902311124</v>
      </c>
      <c r="BD124" s="4"/>
      <c r="BE124" s="2"/>
      <c r="BF124" s="2"/>
    </row>
    <row r="125" spans="1:58">
      <c r="A125" s="2"/>
      <c r="B125" s="321"/>
      <c r="C125" s="321"/>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c r="AB125" s="321"/>
      <c r="AC125" s="321"/>
      <c r="AD125" s="321"/>
      <c r="AE125" s="321"/>
      <c r="AF125" s="322"/>
      <c r="AG125" s="322"/>
      <c r="AH125" s="322"/>
      <c r="AI125" s="322"/>
      <c r="AJ125" s="322"/>
      <c r="AK125" s="322"/>
      <c r="AL125" s="322"/>
      <c r="AM125" s="322"/>
      <c r="AN125" s="322"/>
      <c r="AO125" s="322"/>
      <c r="AP125" s="322"/>
      <c r="AQ125" s="322"/>
      <c r="AR125" s="322"/>
      <c r="AS125" s="322"/>
      <c r="AT125" s="322"/>
      <c r="AU125" s="322"/>
      <c r="AV125" s="322"/>
      <c r="AW125" s="322"/>
      <c r="AX125" s="322"/>
      <c r="AY125" s="322"/>
      <c r="AZ125" s="322"/>
      <c r="BA125" s="322"/>
      <c r="BB125" s="322"/>
      <c r="BC125" s="322"/>
      <c r="BD125" s="2"/>
      <c r="BE125" s="2"/>
      <c r="BF125" s="2"/>
    </row>
    <row r="126" spans="1:58">
      <c r="A126" s="106" t="s">
        <v>532</v>
      </c>
      <c r="B126" s="364">
        <f t="shared" ref="B126:Y126" si="274">B7+B16+B26-B10-B19-B29</f>
        <v>-403</v>
      </c>
      <c r="C126" s="364">
        <f t="shared" si="274"/>
        <v>2626</v>
      </c>
      <c r="D126" s="364">
        <f t="shared" si="274"/>
        <v>1235</v>
      </c>
      <c r="E126" s="364">
        <f t="shared" si="274"/>
        <v>2801.9414390000111</v>
      </c>
      <c r="F126" s="364">
        <f t="shared" si="274"/>
        <v>260.96805499999982</v>
      </c>
      <c r="G126" s="364">
        <f t="shared" si="274"/>
        <v>2640.2752469999996</v>
      </c>
      <c r="H126" s="364">
        <f t="shared" si="274"/>
        <v>2875.6876051390818</v>
      </c>
      <c r="I126" s="364">
        <f t="shared" si="274"/>
        <v>3824.6545781551877</v>
      </c>
      <c r="J126" s="364">
        <f t="shared" si="274"/>
        <v>4109.1402969999999</v>
      </c>
      <c r="K126" s="364">
        <f t="shared" si="274"/>
        <v>5509.7005959999988</v>
      </c>
      <c r="L126" s="364">
        <f t="shared" si="274"/>
        <v>6507.1831589999956</v>
      </c>
      <c r="M126" s="364">
        <f t="shared" si="274"/>
        <v>4029.9717679934447</v>
      </c>
      <c r="N126" s="364">
        <f t="shared" si="274"/>
        <v>5175.1200689999978</v>
      </c>
      <c r="O126" s="364">
        <f t="shared" si="274"/>
        <v>6524.9786905602814</v>
      </c>
      <c r="P126" s="364">
        <f t="shared" si="274"/>
        <v>6005.5904901367376</v>
      </c>
      <c r="Q126" s="364">
        <f t="shared" si="274"/>
        <v>6949.2488076855161</v>
      </c>
      <c r="R126" s="385">
        <f t="shared" si="274"/>
        <v>7870.5684070000052</v>
      </c>
      <c r="S126" s="386">
        <f t="shared" si="274"/>
        <v>8262.3230590000003</v>
      </c>
      <c r="T126" s="386">
        <f t="shared" si="274"/>
        <v>5462.8357999999889</v>
      </c>
      <c r="U126" s="386">
        <f t="shared" si="274"/>
        <v>8422.4442740000231</v>
      </c>
      <c r="V126" s="386">
        <f t="shared" si="274"/>
        <v>7120.2062549999973</v>
      </c>
      <c r="W126" s="386">
        <f t="shared" si="274"/>
        <v>8607.5242456720152</v>
      </c>
      <c r="X126" s="386">
        <f t="shared" si="274"/>
        <v>8978.6159730569652</v>
      </c>
      <c r="Y126" s="386">
        <f t="shared" si="274"/>
        <v>10274.234589537995</v>
      </c>
      <c r="Z126" s="386">
        <f t="shared" ref="Z126:AA126" si="275">Z7+Z16+Z26-Z10-Z19-Z29</f>
        <v>8777.2909783239993</v>
      </c>
      <c r="AA126" s="386">
        <f t="shared" si="275"/>
        <v>9791</v>
      </c>
      <c r="AB126" s="386">
        <f t="shared" ref="AB126:AC126" si="276">AB7+AB16+AB26-AB10-AB19-AB29</f>
        <v>12042.469929327002</v>
      </c>
      <c r="AC126" s="386">
        <f t="shared" si="276"/>
        <v>10554.890226699012</v>
      </c>
      <c r="AD126" s="386">
        <f t="shared" ref="AD126:AE126" si="277">AD7+AD16+AD26-AD10-AD19-AD29</f>
        <v>12167.664768611003</v>
      </c>
      <c r="AE126" s="386">
        <f t="shared" si="277"/>
        <v>11098.240864023985</v>
      </c>
      <c r="AF126" s="387">
        <f t="shared" ref="AF126:AG126" si="278">AF7+AF16+AF26-AF10-AF19-AF29</f>
        <v>1939.6277425999833</v>
      </c>
      <c r="AG126" s="387">
        <f t="shared" si="278"/>
        <v>11230.034033440055</v>
      </c>
      <c r="AH126" s="387">
        <f t="shared" ref="AH126:AI126" si="279">AH7+AH16+AH26-AH10-AH19-AH29</f>
        <v>10681.449539580612</v>
      </c>
      <c r="AI126" s="387">
        <f t="shared" si="279"/>
        <v>11749</v>
      </c>
      <c r="AJ126" s="387">
        <f t="shared" ref="AJ126" si="280">AJ7+AJ16+AJ26-AJ10-AJ19-AJ29</f>
        <v>7070.7207358545002</v>
      </c>
      <c r="AK126" s="387">
        <f t="shared" ref="AK126:AP126" si="281">AK7+AK16+AK26-AK10-AK19-AK29</f>
        <v>-2175.2726702449072</v>
      </c>
      <c r="AL126" s="387">
        <f t="shared" si="281"/>
        <v>13439.105911499668</v>
      </c>
      <c r="AM126" s="387">
        <f t="shared" si="281"/>
        <v>10059.207513753168</v>
      </c>
      <c r="AN126" s="387">
        <f t="shared" si="281"/>
        <v>10594.907209318393</v>
      </c>
      <c r="AO126" s="387">
        <f t="shared" si="281"/>
        <v>9295.4377205611927</v>
      </c>
      <c r="AP126" s="387">
        <f t="shared" si="281"/>
        <v>9944.4006424568634</v>
      </c>
      <c r="AQ126" s="387">
        <f t="shared" ref="AQ126:AR126" si="282">AQ7+AQ16+AQ26-AQ10-AQ19-AQ29</f>
        <v>13314</v>
      </c>
      <c r="AR126" s="387">
        <f t="shared" si="282"/>
        <v>8696.6049971866032</v>
      </c>
      <c r="AS126" s="387">
        <f t="shared" ref="AS126:AT126" si="283">AS7+AS16+AS26-AS10-AS19-AS29</f>
        <v>9587.1251995727416</v>
      </c>
      <c r="AT126" s="387">
        <f t="shared" si="283"/>
        <v>10783.061650949068</v>
      </c>
      <c r="AU126" s="387">
        <f t="shared" ref="AU126:AV126" si="284">AU7+AU16+AU26-AU10-AU19-AU29</f>
        <v>9895.9532394218677</v>
      </c>
      <c r="AV126" s="387">
        <f t="shared" si="284"/>
        <v>11194.08698912711</v>
      </c>
      <c r="AW126" s="387">
        <f t="shared" ref="AW126:AY126" si="285">AW7+AW16+AW26-AW10-AW19-AW29</f>
        <v>5864.5462024098124</v>
      </c>
      <c r="AX126" s="387">
        <f t="shared" si="285"/>
        <v>15125.597930602427</v>
      </c>
      <c r="AY126" s="387">
        <f t="shared" si="285"/>
        <v>9936.2288553336039</v>
      </c>
      <c r="AZ126" s="387">
        <f t="shared" ref="AZ126:BA126" si="286">AZ7+AZ16+AZ26-AZ10-AZ19-AZ29</f>
        <v>11210.18179607079</v>
      </c>
      <c r="BA126" s="387">
        <f t="shared" si="286"/>
        <v>6976.6328706957338</v>
      </c>
      <c r="BB126" s="387">
        <f t="shared" ref="BB126:BC126" si="287">BB7+BB16+BB26-BB10-BB19-BB29</f>
        <v>11792.960516673558</v>
      </c>
      <c r="BC126" s="387">
        <f t="shared" si="287"/>
        <v>8936.0890580486503</v>
      </c>
      <c r="BD126" s="5"/>
      <c r="BE126" s="2" t="s">
        <v>808</v>
      </c>
      <c r="BF126" s="2"/>
    </row>
    <row r="127" spans="1:58">
      <c r="A127" s="2"/>
      <c r="B127" s="321"/>
      <c r="C127" s="321"/>
      <c r="D127" s="321"/>
      <c r="E127" s="321"/>
      <c r="F127" s="321"/>
      <c r="G127" s="321"/>
      <c r="H127" s="321"/>
      <c r="I127" s="321"/>
      <c r="J127" s="321"/>
      <c r="K127" s="321"/>
      <c r="L127" s="321"/>
      <c r="M127" s="321"/>
      <c r="N127" s="321"/>
      <c r="O127" s="321"/>
      <c r="P127" s="321"/>
      <c r="Q127" s="321"/>
      <c r="R127" s="321"/>
      <c r="S127" s="321"/>
      <c r="T127" s="321"/>
      <c r="U127" s="321"/>
      <c r="V127" s="321"/>
      <c r="W127" s="321"/>
      <c r="X127" s="321"/>
      <c r="Y127" s="321"/>
      <c r="Z127" s="321"/>
      <c r="AA127" s="321"/>
      <c r="AB127" s="321"/>
      <c r="AC127" s="321"/>
      <c r="AD127" s="321"/>
      <c r="AE127" s="321"/>
      <c r="AF127" s="322"/>
      <c r="AG127" s="322"/>
      <c r="AH127" s="322"/>
      <c r="AI127" s="322"/>
      <c r="AJ127" s="322"/>
      <c r="AK127" s="322"/>
      <c r="AL127" s="322"/>
      <c r="AM127" s="322"/>
      <c r="AN127" s="322"/>
      <c r="AO127" s="322"/>
      <c r="AP127" s="322"/>
      <c r="AQ127" s="322"/>
      <c r="AR127" s="322"/>
      <c r="AS127" s="322"/>
      <c r="AT127" s="322"/>
      <c r="AU127" s="322"/>
      <c r="AV127" s="322"/>
      <c r="AW127" s="322"/>
      <c r="AX127" s="322"/>
      <c r="AY127" s="322"/>
      <c r="AZ127" s="322"/>
      <c r="BA127" s="322"/>
      <c r="BB127" s="322"/>
      <c r="BC127" s="322"/>
      <c r="BD127" s="2"/>
      <c r="BE127" s="2"/>
      <c r="BF127" s="2"/>
    </row>
    <row r="128" spans="1:58">
      <c r="A128" s="2"/>
      <c r="B128" s="321"/>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c r="AA128" s="321"/>
      <c r="AB128" s="321"/>
      <c r="AC128" s="321"/>
      <c r="AD128" s="321"/>
      <c r="AE128" s="321"/>
      <c r="AF128" s="322"/>
      <c r="AG128" s="322"/>
      <c r="AH128" s="322"/>
      <c r="AI128" s="322"/>
      <c r="AJ128" s="322"/>
      <c r="AK128" s="322"/>
      <c r="AL128" s="322"/>
      <c r="AM128" s="322"/>
      <c r="AN128" s="322"/>
      <c r="AO128" s="322"/>
      <c r="AP128" s="322"/>
      <c r="AQ128" s="322"/>
      <c r="AR128" s="322"/>
      <c r="AS128" s="322"/>
      <c r="AT128" s="322"/>
      <c r="AU128" s="322"/>
      <c r="AV128" s="322"/>
      <c r="AW128" s="322"/>
      <c r="AX128" s="322"/>
      <c r="AY128" s="322"/>
      <c r="AZ128" s="322"/>
      <c r="BA128" s="322"/>
      <c r="BB128" s="322"/>
      <c r="BC128" s="322"/>
      <c r="BD128" s="2"/>
      <c r="BE128" s="2"/>
      <c r="BF128" s="2"/>
    </row>
    <row r="129" spans="1:58">
      <c r="A129" s="2"/>
      <c r="B129" s="321"/>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1"/>
      <c r="AA129" s="321"/>
      <c r="AB129" s="321"/>
      <c r="AC129" s="321"/>
      <c r="AD129" s="321"/>
      <c r="AE129" s="321"/>
      <c r="AF129" s="322"/>
      <c r="AG129" s="322"/>
      <c r="AH129" s="322"/>
      <c r="AI129" s="322"/>
      <c r="AJ129" s="322"/>
      <c r="AK129" s="322"/>
      <c r="AL129" s="322"/>
      <c r="AM129" s="322"/>
      <c r="AN129" s="322"/>
      <c r="AO129" s="322"/>
      <c r="AP129" s="322"/>
      <c r="AQ129" s="322"/>
      <c r="AR129" s="322"/>
      <c r="AS129" s="322"/>
      <c r="AT129" s="322"/>
      <c r="AU129" s="322"/>
      <c r="AV129" s="322"/>
      <c r="AW129" s="322"/>
      <c r="AX129" s="322"/>
      <c r="AY129" s="322"/>
      <c r="AZ129" s="322"/>
      <c r="BA129" s="322"/>
      <c r="BB129" s="322"/>
      <c r="BC129" s="322"/>
      <c r="BD129" s="2"/>
      <c r="BE129" s="2"/>
      <c r="BF129" s="2"/>
    </row>
    <row r="130" spans="1:58">
      <c r="A130" s="2"/>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c r="AA130" s="321"/>
      <c r="AB130" s="321"/>
      <c r="AC130" s="321"/>
      <c r="AD130" s="321"/>
      <c r="AE130" s="322"/>
      <c r="AF130" s="322"/>
      <c r="AG130" s="322"/>
      <c r="AH130" s="322"/>
      <c r="AI130" s="322"/>
      <c r="AJ130" s="322"/>
      <c r="AK130" s="322"/>
      <c r="AL130" s="322"/>
      <c r="AM130" s="322"/>
      <c r="AN130" s="322"/>
      <c r="AO130" s="322"/>
      <c r="AP130" s="322"/>
      <c r="AQ130" s="322"/>
      <c r="AR130" s="322"/>
      <c r="AS130" s="322"/>
      <c r="AT130" s="322"/>
      <c r="AU130" s="322"/>
      <c r="AV130" s="322"/>
      <c r="AW130" s="322"/>
      <c r="AX130" s="322"/>
      <c r="AY130" s="322"/>
      <c r="AZ130" s="322"/>
      <c r="BA130" s="322"/>
      <c r="BB130" s="322"/>
      <c r="BC130" s="322"/>
      <c r="BD130" s="2"/>
      <c r="BE130" s="2"/>
      <c r="BF130" s="2"/>
    </row>
    <row r="131" spans="1:58">
      <c r="A131" s="2"/>
      <c r="B131" s="321"/>
      <c r="C131" s="321"/>
      <c r="D131" s="321"/>
      <c r="E131" s="321"/>
      <c r="F131" s="321"/>
      <c r="G131" s="321"/>
      <c r="H131" s="321"/>
      <c r="I131" s="321"/>
      <c r="J131" s="321"/>
      <c r="K131" s="321"/>
      <c r="L131" s="321"/>
      <c r="M131" s="321"/>
      <c r="N131" s="321"/>
      <c r="O131" s="321"/>
      <c r="P131" s="321"/>
      <c r="Q131" s="321"/>
      <c r="R131" s="321"/>
      <c r="S131" s="321"/>
      <c r="T131" s="321"/>
      <c r="U131" s="321"/>
      <c r="V131" s="321"/>
      <c r="W131" s="321"/>
      <c r="X131" s="321"/>
      <c r="Y131" s="321"/>
      <c r="Z131" s="321"/>
      <c r="AA131" s="321"/>
      <c r="AB131" s="321"/>
      <c r="AC131" s="321"/>
      <c r="AD131" s="321"/>
      <c r="AE131" s="322"/>
      <c r="AF131" s="322"/>
      <c r="AG131" s="322"/>
      <c r="AH131" s="322"/>
      <c r="AI131" s="322"/>
      <c r="AJ131" s="322"/>
      <c r="AK131" s="322"/>
      <c r="AL131" s="322"/>
      <c r="AM131" s="322"/>
      <c r="AN131" s="322"/>
      <c r="AO131" s="322"/>
      <c r="AP131" s="322"/>
      <c r="AQ131" s="322"/>
      <c r="AR131" s="322"/>
      <c r="AS131" s="322"/>
      <c r="AT131" s="322"/>
      <c r="AU131" s="322"/>
      <c r="AV131" s="322"/>
      <c r="AW131" s="322"/>
      <c r="AX131" s="322"/>
      <c r="AY131" s="322"/>
      <c r="AZ131" s="322"/>
      <c r="BA131" s="322"/>
      <c r="BB131" s="322"/>
      <c r="BC131" s="322"/>
      <c r="BD131" s="2"/>
      <c r="BE131" s="2"/>
      <c r="BF131" s="2"/>
    </row>
    <row r="132" spans="1:58">
      <c r="A132" s="2" t="s">
        <v>777</v>
      </c>
      <c r="B132" s="388">
        <f>B6+B15+B25+B44+'Domestic Mobile Financials'!B4-8000</f>
        <v>113205</v>
      </c>
      <c r="C132" s="388">
        <f>C6+C15+C25+C44+'Domestic Mobile Financials'!C4-8000</f>
        <v>113532</v>
      </c>
      <c r="D132" s="388">
        <f>D6+D15+D25+D44+'Domestic Mobile Financials'!D4-8000</f>
        <v>118100</v>
      </c>
      <c r="E132" s="388">
        <f>E6+E15+E25+E44+'Domestic Mobile Financials'!E4-8000</f>
        <v>121028.312924</v>
      </c>
      <c r="F132" s="388">
        <f>F6+F15+F25+F44+'Domestic Mobile Financials'!F4-8000</f>
        <v>121640.349669</v>
      </c>
      <c r="G132" s="388">
        <f>G6+G15+G25+G44+'Domestic Mobile Financials'!G4-8000</f>
        <v>128305.91247899999</v>
      </c>
      <c r="H132" s="388">
        <f>H6+H15+H25+H44+'Domestic Mobile Financials'!H4-8000</f>
        <v>127059.160515</v>
      </c>
      <c r="I132" s="388">
        <f>I6+I15+I25+I44+'Domestic Mobile Financials'!I4-8000</f>
        <v>129356.27413099998</v>
      </c>
      <c r="J132" s="388">
        <f>J6+J15+J25+J44+'Domestic Mobile Financials'!J4-8000</f>
        <v>136432.466277</v>
      </c>
      <c r="K132" s="388">
        <f>K6+K15+K25+K44+'Domestic Mobile Financials'!K4-8000</f>
        <v>137194.39861100001</v>
      </c>
      <c r="L132" s="388">
        <f>L6+L15+L25+L44+'Domestic Mobile Financials'!L4-8000</f>
        <v>139894.53886499998</v>
      </c>
      <c r="M132" s="388">
        <f>M6+M15+M25+M44+'Domestic Mobile Financials'!M4-8000</f>
        <v>144798.11074400006</v>
      </c>
      <c r="N132" s="388">
        <f>N6+N15+N25+N44+'Domestic Mobile Financials'!N4-8000</f>
        <v>152255.553973</v>
      </c>
      <c r="O132" s="388">
        <f>O6+O15+O25+O44+'Domestic Mobile Financials'!O4-8000</f>
        <v>152802.71063099999</v>
      </c>
      <c r="P132" s="388">
        <f>P6+P15+P25+P44+'Domestic Mobile Financials'!P4-8000</f>
        <v>157216.38871200001</v>
      </c>
      <c r="Q132" s="388">
        <f>Q6+Q15+Q25+Q44+'Domestic Mobile Financials'!Q4-8000</f>
        <v>161575.64235799998</v>
      </c>
      <c r="R132" s="388">
        <f>R6+R15+R25+R44+'Domestic Mobile Financials'!R4-8000</f>
        <v>167101.16862500002</v>
      </c>
      <c r="S132" s="388">
        <f>S6+S15+S25+S44+'Domestic Mobile Financials'!S4-8000</f>
        <v>166777.19021799997</v>
      </c>
      <c r="T132" s="388">
        <f>T6+T15+T25+T44+'Domestic Mobile Financials'!T4-8000</f>
        <v>169558.31761799997</v>
      </c>
      <c r="U132" s="388">
        <f>U6+U15+U25+U44+'Domestic Mobile Financials'!U4-8000</f>
        <v>176618.77201400005</v>
      </c>
      <c r="V132" s="388">
        <f>V6+V15+V25+V44+'Domestic Mobile Financials'!V4-8000</f>
        <v>184331.977055</v>
      </c>
      <c r="W132" s="388">
        <f>W6+W15+W25+W44+'Domestic Mobile Financials'!W4-8000</f>
        <v>185567.06131041399</v>
      </c>
      <c r="X132" s="388">
        <f>X6+X15+X25+X44+'Domestic Mobile Financials'!X4-8000</f>
        <v>173900.37009020505</v>
      </c>
      <c r="Y132" s="388">
        <f>Y6+Y15+Y25+Y44+'Domestic Mobile Financials'!Y4-8000</f>
        <v>163869.26916291896</v>
      </c>
      <c r="Z132" s="388">
        <f>Z6+Z15+Z25+Z44+'Domestic Mobile Financials'!Z4-8000</f>
        <v>165715.01446599999</v>
      </c>
      <c r="AA132" s="388">
        <f>AA6+AA15+AA25+AA44+'Domestic Mobile Financials'!AA4-8000</f>
        <v>159471.48475199999</v>
      </c>
      <c r="AB132" s="388">
        <f>AB6+AB15+AB25+AB44+'Domestic Mobile Financials'!AB4-8000</f>
        <v>145418.45631000001</v>
      </c>
      <c r="AC132" s="388">
        <f>AC6+AC15+AC25+AC44+'Domestic Mobile Financials'!AC4-8000</f>
        <v>140444.39500800008</v>
      </c>
      <c r="AD132" s="388">
        <f>AD6+AD15+AD25+AD44+'Domestic Mobile Financials'!AD4-8000</f>
        <v>142768.52346330901</v>
      </c>
      <c r="AE132" s="388">
        <f>AE6+AE15+AE25+AE44+'Domestic Mobile Financials'!AE4-8000</f>
        <v>144358.23839518701</v>
      </c>
      <c r="AF132" s="388">
        <f>AF6+AF15+AF25+AF44+'Domestic Mobile Financials'!AF4-8000</f>
        <v>140842.18716575496</v>
      </c>
      <c r="AG132" s="388">
        <f>AG6+AG15+AG25+AG44+'Domestic Mobile Financials'!AG4-8000</f>
        <v>144403.55912176307</v>
      </c>
      <c r="AH132" s="388">
        <f>AH6+AH15+AH25+AH44+'Domestic Mobile Financials'!AH4-8000</f>
        <v>145841.87674660599</v>
      </c>
      <c r="AI132" s="388">
        <f>AI6+AI15+AI25+AI44+'Domestic Mobile Financials'!AI4-8000</f>
        <v>148494</v>
      </c>
      <c r="AJ132" s="388">
        <f>AJ6+AJ15+AJ25+AJ44+'Domestic Mobile Financials'!AJ4-8000</f>
        <v>150297.27014607697</v>
      </c>
      <c r="AK132" s="388">
        <f>AK6+AK15+AK25+AK44+'Domestic Mobile Financials'!AK4-8000</f>
        <v>167051.125952965</v>
      </c>
      <c r="AL132" s="388">
        <f>AL6+AL15+AL25+AL44+'Domestic Mobile Financials'!AL4-8000</f>
        <v>169024.338749413</v>
      </c>
      <c r="AM132" s="388">
        <f>AM6+AM15+AM25+AM44+'Domestic Mobile Financials'!AM4-8000</f>
        <v>179561.68006879697</v>
      </c>
      <c r="AN132" s="388">
        <f>AN6+AN15+AN25+AN44+'Domestic Mobile Financials'!AN4-8000</f>
        <v>189569.290132483</v>
      </c>
      <c r="AO132" s="388">
        <f>AO6+AO15+AO25+AO44+'Domestic Mobile Financials'!AO4</f>
        <v>191499.77629945514</v>
      </c>
      <c r="AP132" s="388">
        <f>AP6+AP15+AP25+AP44+'Domestic Mobile Financials'!AP4</f>
        <v>195575.95720367998</v>
      </c>
      <c r="AQ132" s="388">
        <f>AQ6+AQ15+AQ25+AQ44+'Domestic Mobile Financials'!AQ4</f>
        <v>206973</v>
      </c>
      <c r="AR132" s="388">
        <f>AR6+AR15+AR25+AR44+'Domestic Mobile Financials'!AR4</f>
        <v>217113.02795657696</v>
      </c>
      <c r="AS132" s="388">
        <f>AS6+AS15+AS25+AS44+'Domestic Mobile Financials'!AS4</f>
        <v>233374.22114176504</v>
      </c>
      <c r="AT132" s="388">
        <f>AT6+AT15+AT25+AT44+'Domestic Mobile Financials'!AT4</f>
        <v>241806.85340492902</v>
      </c>
      <c r="AU132" s="388">
        <f>AU6+AU15+AU25+AU44+'Domestic Mobile Financials'!AU4</f>
        <v>252654.59152299305</v>
      </c>
      <c r="AV132" s="388">
        <f>AV6+AV15+AV25+AV44+'Domestic Mobile Financials'!AV4</f>
        <v>259038.94989286602</v>
      </c>
      <c r="AW132" s="388">
        <f>AW6+AW15+AW25+AW44+'Domestic Mobile Financials'!AW4</f>
        <v>261598.52623776012</v>
      </c>
      <c r="AX132" s="388">
        <f>AX6+AX15+AX25+AX44+'Domestic Mobile Financials'!AX4</f>
        <v>273493.79258503497</v>
      </c>
      <c r="AY132" s="388">
        <f>AY6+AY15+AY25+AY44+'Domestic Mobile Financials'!AY4</f>
        <v>280343.04168983898</v>
      </c>
      <c r="AZ132" s="388">
        <f>AZ6+AZ15+AZ25+AZ44+'Domestic Mobile Financials'!AZ4</f>
        <v>288888.84117272397</v>
      </c>
      <c r="BA132" s="388">
        <f>BA6+BA15+BA25+BA44+'Domestic Mobile Financials'!BA4</f>
        <v>296121.30637706904</v>
      </c>
      <c r="BB132" s="388">
        <f>BB6+BB15+BB25+BB44+'Domestic Mobile Financials'!BB4</f>
        <v>301480.40000000002</v>
      </c>
      <c r="BC132" s="388">
        <f>BC6+BC15+BC25+BC44+'Domestic Mobile Financials'!BC4</f>
        <v>326833</v>
      </c>
      <c r="BD132" s="104"/>
      <c r="BE132" s="2"/>
      <c r="BF132" s="2"/>
    </row>
    <row r="133" spans="1:58">
      <c r="A133" s="2"/>
      <c r="B133" s="321"/>
      <c r="C133" s="321"/>
      <c r="D133" s="321"/>
      <c r="E133" s="321"/>
      <c r="F133" s="321"/>
      <c r="G133" s="321"/>
      <c r="H133" s="321"/>
      <c r="I133" s="321"/>
      <c r="J133" s="321"/>
      <c r="K133" s="321"/>
      <c r="L133" s="321"/>
      <c r="M133" s="321"/>
      <c r="N133" s="321"/>
      <c r="O133" s="321"/>
      <c r="P133" s="353">
        <f>P132/L132-1</f>
        <v>0.12382077232990385</v>
      </c>
      <c r="Q133" s="353">
        <f t="shared" ref="Q133:AS133" si="288">Q132/M132-1</f>
        <v>0.11586844281181419</v>
      </c>
      <c r="R133" s="353">
        <f t="shared" si="288"/>
        <v>9.750458531471784E-2</v>
      </c>
      <c r="S133" s="353">
        <f t="shared" si="288"/>
        <v>9.1454395863085569E-2</v>
      </c>
      <c r="T133" s="353">
        <f t="shared" si="288"/>
        <v>7.8502813905799496E-2</v>
      </c>
      <c r="U133" s="353">
        <f t="shared" si="288"/>
        <v>9.3102706797038692E-2</v>
      </c>
      <c r="V133" s="353">
        <f t="shared" si="288"/>
        <v>0.10311602588889413</v>
      </c>
      <c r="W133" s="353">
        <f t="shared" si="288"/>
        <v>0.11266451406126432</v>
      </c>
      <c r="X133" s="353">
        <f t="shared" si="288"/>
        <v>2.5608018133249866E-2</v>
      </c>
      <c r="Y133" s="353">
        <f t="shared" si="288"/>
        <v>-7.2186567179113093E-2</v>
      </c>
      <c r="Z133" s="353">
        <f t="shared" si="288"/>
        <v>-0.1009969235204653</v>
      </c>
      <c r="AA133" s="353">
        <f t="shared" si="288"/>
        <v>-0.14062612391517959</v>
      </c>
      <c r="AB133" s="353">
        <f t="shared" si="288"/>
        <v>-0.16378293942348132</v>
      </c>
      <c r="AC133" s="353">
        <f t="shared" si="288"/>
        <v>-0.14294854840433724</v>
      </c>
      <c r="AD133" s="353">
        <f t="shared" si="288"/>
        <v>-0.13846959538719983</v>
      </c>
      <c r="AE133" s="353">
        <f t="shared" si="288"/>
        <v>-9.4770838688284287E-2</v>
      </c>
      <c r="AF133" s="353">
        <f t="shared" si="288"/>
        <v>-3.1469658393907363E-2</v>
      </c>
      <c r="AG133" s="353">
        <f t="shared" si="288"/>
        <v>2.8190260732993133E-2</v>
      </c>
      <c r="AH133" s="353">
        <f t="shared" si="288"/>
        <v>2.1526826843501157E-2</v>
      </c>
      <c r="AI133" s="353">
        <f t="shared" si="288"/>
        <v>2.8649293942553999E-2</v>
      </c>
      <c r="AJ133" s="353">
        <f t="shared" si="288"/>
        <v>6.7132463437211909E-2</v>
      </c>
      <c r="AK133" s="353">
        <f t="shared" si="288"/>
        <v>0.15683523985794001</v>
      </c>
      <c r="AL133" s="353">
        <f t="shared" si="288"/>
        <v>0.15895614154146909</v>
      </c>
      <c r="AM133" s="353">
        <f t="shared" si="288"/>
        <v>0.20921842006274294</v>
      </c>
      <c r="AN133" s="353">
        <f t="shared" si="288"/>
        <v>0.26129563064077455</v>
      </c>
      <c r="AO133" s="353">
        <f t="shared" si="288"/>
        <v>0.1463542984641355</v>
      </c>
      <c r="AP133" s="353">
        <f t="shared" si="288"/>
        <v>0.1570875452063214</v>
      </c>
      <c r="AQ133" s="353">
        <f t="shared" si="288"/>
        <v>0.15265684705501026</v>
      </c>
      <c r="AR133" s="353">
        <f t="shared" si="288"/>
        <v>0.1452964127514782</v>
      </c>
      <c r="AS133" s="353">
        <f t="shared" si="288"/>
        <v>0.21866576374914048</v>
      </c>
      <c r="AT133" s="353">
        <f t="shared" ref="AT133:BC133" si="289">AT132/AP132-1</f>
        <v>0.23638333086670005</v>
      </c>
      <c r="AU133" s="353">
        <f t="shared" si="289"/>
        <v>0.22071280564611362</v>
      </c>
      <c r="AV133" s="353">
        <f t="shared" si="289"/>
        <v>0.19310643092626534</v>
      </c>
      <c r="AW133" s="353">
        <f t="shared" si="289"/>
        <v>0.12094011479892641</v>
      </c>
      <c r="AX133" s="353">
        <f t="shared" si="289"/>
        <v>0.13104235357234928</v>
      </c>
      <c r="AY133" s="353">
        <f t="shared" si="289"/>
        <v>0.10959013252021621</v>
      </c>
      <c r="AZ133" s="353">
        <f t="shared" si="289"/>
        <v>0.11523321605574499</v>
      </c>
      <c r="BA133" s="353">
        <f t="shared" si="289"/>
        <v>0.13196855745254488</v>
      </c>
      <c r="BB133" s="353">
        <f t="shared" si="289"/>
        <v>0.10232995473293394</v>
      </c>
      <c r="BC133" s="353">
        <f t="shared" si="289"/>
        <v>0.16583239601714728</v>
      </c>
      <c r="BD133" s="2"/>
      <c r="BE133" s="2"/>
      <c r="BF133" s="2"/>
    </row>
    <row r="134" spans="1:58">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2"/>
      <c r="BE134" s="2"/>
      <c r="BF134" s="2"/>
    </row>
    <row r="135" spans="1:58">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2"/>
      <c r="BE135" s="2"/>
      <c r="BF135" s="2"/>
    </row>
    <row r="136" spans="1:58">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2"/>
      <c r="BE136" s="2"/>
      <c r="BF136" s="2"/>
    </row>
    <row r="137" spans="1:58">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2"/>
      <c r="BE137" s="2"/>
      <c r="BF137" s="2"/>
    </row>
    <row r="138" spans="1:5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2"/>
      <c r="BE138" s="2"/>
      <c r="BF138" s="2"/>
    </row>
    <row r="139" spans="1:58">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2"/>
      <c r="BE139" s="2"/>
      <c r="BF139" s="2"/>
    </row>
    <row r="140" spans="1:58">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2"/>
      <c r="BE140" s="2"/>
      <c r="BF140" s="2"/>
    </row>
  </sheetData>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45DFD126F1C944A14E489380A940D9" ma:contentTypeVersion="12" ma:contentTypeDescription="Create a new document." ma:contentTypeScope="" ma:versionID="135f5511df3d0be2c8bd5128510892d5">
  <xsd:schema xmlns:xsd="http://www.w3.org/2001/XMLSchema" xmlns:xs="http://www.w3.org/2001/XMLSchema" xmlns:p="http://schemas.microsoft.com/office/2006/metadata/properties" xmlns:ns2="7a64ecaf-0ff2-4962-b687-c42052c96c69" xmlns:ns3="ac44878d-96d9-4f15-b496-a71362426953" targetNamespace="http://schemas.microsoft.com/office/2006/metadata/properties" ma:root="true" ma:fieldsID="9403f04297d608c6c0e02be7f891f173" ns2:_="" ns3:_="">
    <xsd:import namespace="7a64ecaf-0ff2-4962-b687-c42052c96c69"/>
    <xsd:import namespace="ac44878d-96d9-4f15-b496-a713624269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64ecaf-0ff2-4962-b687-c42052c96c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47c01aa-fa72-499e-a558-c0906cb7ca6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44878d-96d9-4f15-b496-a7136242695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b3b699d-aa6c-457c-8a6e-4428a86250e7}" ma:internalName="TaxCatchAll" ma:showField="CatchAllData" ma:web="ac44878d-96d9-4f15-b496-a713624269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a64ecaf-0ff2-4962-b687-c42052c96c69">
      <Terms xmlns="http://schemas.microsoft.com/office/infopath/2007/PartnerControls"/>
    </lcf76f155ced4ddcb4097134ff3c332f>
    <TaxCatchAll xmlns="ac44878d-96d9-4f15-b496-a71362426953" xsi:nil="true"/>
  </documentManagement>
</p:properties>
</file>

<file path=customXml/itemProps1.xml><?xml version="1.0" encoding="utf-8"?>
<ds:datastoreItem xmlns:ds="http://schemas.openxmlformats.org/officeDocument/2006/customXml" ds:itemID="{F3C19FCB-F5B9-431A-9637-265F9FD84F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64ecaf-0ff2-4962-b687-c42052c96c69"/>
    <ds:schemaRef ds:uri="ac44878d-96d9-4f15-b496-a713624269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B89DFE-733C-4E4D-8A77-FC52AD997A34}">
  <ds:schemaRefs>
    <ds:schemaRef ds:uri="http://schemas.microsoft.com/sharepoint/v3/contenttype/forms"/>
  </ds:schemaRefs>
</ds:datastoreItem>
</file>

<file path=customXml/itemProps3.xml><?xml version="1.0" encoding="utf-8"?>
<ds:datastoreItem xmlns:ds="http://schemas.openxmlformats.org/officeDocument/2006/customXml" ds:itemID="{17943591-2E59-46C9-AE13-A3A7BD14E2B9}">
  <ds:schemaRefs>
    <ds:schemaRef ds:uri="http://schemas.microsoft.com/office/2006/metadata/properties"/>
    <ds:schemaRef ds:uri="http://schemas.microsoft.com/office/infopath/2007/PartnerControls"/>
    <ds:schemaRef ds:uri="7a64ecaf-0ff2-4962-b687-c42052c96c69"/>
    <ds:schemaRef ds:uri="ac44878d-96d9-4f15-b496-a7136242695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Key</vt:lpstr>
      <vt:lpstr>Reported Group Profit and Loss</vt:lpstr>
      <vt:lpstr>Reported Group Balance Sheet</vt:lpstr>
      <vt:lpstr>Reported Group Cash-Flow</vt:lpstr>
      <vt:lpstr>Revenue, EBITDA, capex breakout</vt:lpstr>
      <vt:lpstr>Indian opex</vt:lpstr>
      <vt:lpstr>Domestic Mobile Operations</vt:lpstr>
      <vt:lpstr>Domestic Mobile Financials</vt:lpstr>
      <vt:lpstr>Other India financials</vt:lpstr>
      <vt:lpstr>Other India Operations</vt:lpstr>
      <vt:lpstr>International Financials</vt:lpstr>
      <vt:lpstr>International Operations KPIs</vt:lpstr>
      <vt:lpstr>Charts</vt:lpstr>
      <vt:lpstr>Snap</vt:lpstr>
      <vt:lpstr>Dates</vt:lpstr>
      <vt:lpstr>Charts!Print_Area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Casper Erskine</dc:creator>
  <cp:lastModifiedBy>Kelvin Oh</cp:lastModifiedBy>
  <cp:lastPrinted>2024-10-28T12:09:26Z</cp:lastPrinted>
  <dcterms:created xsi:type="dcterms:W3CDTF">2017-05-04T06:51:21Z</dcterms:created>
  <dcterms:modified xsi:type="dcterms:W3CDTF">2024-10-28T13:45:55Z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0x0101004E45DFD126F1C944A14E489380A940D9</vt:lpwstr>
  </property>
  <property fmtid="{D5CDD505-2E9C-101B-9397-08002B2CF9AE}" pid="3" name="Order">
    <vt:r8>3041400</vt:r8>
  </property>
</Properties>
</file>